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lesMacBookPro/Investment Info/"/>
    </mc:Choice>
  </mc:AlternateContent>
  <bookViews>
    <workbookView xWindow="1040" yWindow="1640" windowWidth="27760" windowHeight="15100" tabRatio="500"/>
  </bookViews>
  <sheets>
    <sheet name="Cohen GME" sheetId="6" r:id="rId1"/>
    <sheet name="Sony Game Attach Rates" sheetId="1" r:id="rId2"/>
    <sheet name="Nintendo Game Attach Rates" sheetId="2" r:id="rId3"/>
    <sheet name="Console Market Share" sheetId="7" r:id="rId4"/>
    <sheet name="XBOX Digital Rev Share" sheetId="8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8" i="6" l="1"/>
  <c r="F348" i="6"/>
  <c r="G348" i="6"/>
  <c r="H348" i="6"/>
  <c r="D348" i="6"/>
  <c r="E344" i="6"/>
  <c r="F344" i="6"/>
  <c r="G344" i="6"/>
  <c r="H344" i="6"/>
  <c r="D344" i="6"/>
  <c r="D177" i="6"/>
  <c r="D126" i="6"/>
  <c r="D142" i="6"/>
  <c r="E142" i="6"/>
  <c r="F142" i="6"/>
  <c r="G142" i="6"/>
  <c r="H142" i="6"/>
  <c r="D143" i="6"/>
  <c r="E143" i="6"/>
  <c r="F143" i="6"/>
  <c r="G143" i="6"/>
  <c r="H143" i="6"/>
  <c r="G144" i="6"/>
  <c r="H144" i="6"/>
  <c r="H145" i="6"/>
  <c r="E154" i="6"/>
  <c r="F154" i="6"/>
  <c r="G154" i="6"/>
  <c r="H154" i="6"/>
  <c r="H155" i="6"/>
  <c r="H157" i="6"/>
  <c r="H147" i="6"/>
  <c r="H148" i="6"/>
  <c r="H149" i="6"/>
  <c r="H151" i="6"/>
  <c r="H161" i="6"/>
  <c r="H162" i="6"/>
  <c r="H164" i="6"/>
  <c r="E168" i="6"/>
  <c r="F168" i="6"/>
  <c r="G168" i="6"/>
  <c r="H168" i="6"/>
  <c r="G147" i="6"/>
  <c r="G148" i="6"/>
  <c r="G149" i="6"/>
  <c r="G151" i="6"/>
  <c r="G161" i="6"/>
  <c r="G162" i="6"/>
  <c r="G164" i="6"/>
  <c r="H169" i="6"/>
  <c r="E173" i="6"/>
  <c r="F173" i="6"/>
  <c r="G173" i="6"/>
  <c r="H173" i="6"/>
  <c r="E177" i="6"/>
  <c r="F177" i="6"/>
  <c r="G177" i="6"/>
  <c r="H177" i="6"/>
  <c r="H178" i="6"/>
  <c r="H182" i="6"/>
  <c r="H186" i="6"/>
  <c r="G145" i="6"/>
  <c r="G155" i="6"/>
  <c r="G157" i="6"/>
  <c r="F147" i="6"/>
  <c r="F148" i="6"/>
  <c r="F149" i="6"/>
  <c r="F151" i="6"/>
  <c r="F161" i="6"/>
  <c r="F162" i="6"/>
  <c r="F164" i="6"/>
  <c r="G169" i="6"/>
  <c r="G178" i="6"/>
  <c r="G182" i="6"/>
  <c r="G186" i="6"/>
  <c r="F145" i="6"/>
  <c r="F155" i="6"/>
  <c r="F157" i="6"/>
  <c r="E147" i="6"/>
  <c r="E148" i="6"/>
  <c r="E149" i="6"/>
  <c r="E151" i="6"/>
  <c r="E161" i="6"/>
  <c r="E162" i="6"/>
  <c r="E164" i="6"/>
  <c r="F169" i="6"/>
  <c r="F178" i="6"/>
  <c r="F182" i="6"/>
  <c r="F186" i="6"/>
  <c r="E145" i="6"/>
  <c r="E155" i="6"/>
  <c r="E157" i="6"/>
  <c r="D147" i="6"/>
  <c r="D148" i="6"/>
  <c r="D149" i="6"/>
  <c r="D151" i="6"/>
  <c r="D161" i="6"/>
  <c r="D162" i="6"/>
  <c r="D164" i="6"/>
  <c r="E169" i="6"/>
  <c r="E178" i="6"/>
  <c r="E182" i="6"/>
  <c r="E186" i="6"/>
  <c r="D145" i="6"/>
  <c r="D155" i="6"/>
  <c r="D157" i="6"/>
  <c r="D169" i="6"/>
  <c r="D178" i="6"/>
  <c r="D182" i="6"/>
  <c r="D186" i="6"/>
  <c r="H159" i="6"/>
  <c r="H166" i="6"/>
  <c r="H171" i="6"/>
  <c r="H175" i="6"/>
  <c r="H180" i="6"/>
  <c r="H183" i="6"/>
  <c r="H184" i="6"/>
  <c r="G159" i="6"/>
  <c r="G166" i="6"/>
  <c r="G171" i="6"/>
  <c r="G175" i="6"/>
  <c r="G180" i="6"/>
  <c r="G183" i="6"/>
  <c r="G184" i="6"/>
  <c r="F159" i="6"/>
  <c r="F166" i="6"/>
  <c r="F171" i="6"/>
  <c r="F175" i="6"/>
  <c r="F180" i="6"/>
  <c r="F183" i="6"/>
  <c r="F184" i="6"/>
  <c r="E159" i="6"/>
  <c r="E166" i="6"/>
  <c r="E171" i="6"/>
  <c r="E175" i="6"/>
  <c r="E180" i="6"/>
  <c r="E183" i="6"/>
  <c r="E184" i="6"/>
  <c r="D159" i="6"/>
  <c r="D166" i="6"/>
  <c r="D171" i="6"/>
  <c r="D175" i="6"/>
  <c r="D180" i="6"/>
  <c r="D183" i="6"/>
  <c r="D184" i="6"/>
  <c r="H153" i="6"/>
  <c r="G153" i="6"/>
  <c r="F153" i="6"/>
  <c r="E153" i="6"/>
  <c r="D153" i="6"/>
  <c r="C147" i="6"/>
  <c r="C148" i="6"/>
  <c r="C149" i="6"/>
  <c r="C151" i="6"/>
  <c r="C145" i="6"/>
  <c r="D40" i="6"/>
  <c r="E40" i="6"/>
  <c r="F40" i="6"/>
  <c r="D41" i="6"/>
  <c r="E41" i="6"/>
  <c r="F41" i="6"/>
  <c r="F43" i="6"/>
  <c r="E52" i="6"/>
  <c r="F52" i="6"/>
  <c r="F53" i="6"/>
  <c r="F55" i="6"/>
  <c r="F57" i="6"/>
  <c r="F45" i="6"/>
  <c r="F46" i="6"/>
  <c r="F47" i="6"/>
  <c r="F49" i="6"/>
  <c r="F59" i="6"/>
  <c r="F60" i="6"/>
  <c r="F62" i="6"/>
  <c r="F64" i="6"/>
  <c r="E66" i="6"/>
  <c r="F66" i="6"/>
  <c r="E45" i="6"/>
  <c r="E46" i="6"/>
  <c r="E47" i="6"/>
  <c r="E49" i="6"/>
  <c r="E59" i="6"/>
  <c r="E60" i="6"/>
  <c r="E62" i="6"/>
  <c r="F67" i="6"/>
  <c r="F69" i="6"/>
  <c r="E71" i="6"/>
  <c r="F71" i="6"/>
  <c r="F73" i="6"/>
  <c r="D75" i="6"/>
  <c r="E75" i="6"/>
  <c r="F75" i="6"/>
  <c r="F76" i="6"/>
  <c r="F78" i="6"/>
  <c r="F81" i="6"/>
  <c r="F298" i="6"/>
  <c r="B191" i="6"/>
  <c r="C191" i="6"/>
  <c r="D192" i="6"/>
  <c r="E192" i="6"/>
  <c r="F192" i="6"/>
  <c r="F195" i="6"/>
  <c r="F201" i="6"/>
  <c r="F299" i="6"/>
  <c r="D209" i="6"/>
  <c r="E209" i="6"/>
  <c r="F209" i="6"/>
  <c r="F210" i="6"/>
  <c r="F213" i="6"/>
  <c r="F296" i="6"/>
  <c r="F300" i="6"/>
  <c r="F301" i="6"/>
  <c r="F80" i="6"/>
  <c r="F294" i="6"/>
  <c r="F295" i="6"/>
  <c r="F297" i="6"/>
  <c r="E304" i="6"/>
  <c r="F304" i="6"/>
  <c r="F305" i="6"/>
  <c r="E306" i="6"/>
  <c r="F306" i="6"/>
  <c r="F307" i="6"/>
  <c r="F312" i="6"/>
  <c r="F377" i="6"/>
  <c r="D243" i="6"/>
  <c r="E243" i="6"/>
  <c r="F243" i="6"/>
  <c r="F244" i="6"/>
  <c r="F246" i="6"/>
  <c r="F248" i="6"/>
  <c r="L208" i="6"/>
  <c r="K250" i="6"/>
  <c r="F250" i="6"/>
  <c r="F251" i="6"/>
  <c r="F253" i="6"/>
  <c r="F256" i="6"/>
  <c r="F378" i="6"/>
  <c r="F379" i="6"/>
  <c r="F6" i="6"/>
  <c r="F10" i="6"/>
  <c r="F22" i="6"/>
  <c r="F12" i="6"/>
  <c r="F23" i="6"/>
  <c r="F14" i="6"/>
  <c r="F24" i="6"/>
  <c r="F20" i="6"/>
  <c r="F26" i="6"/>
  <c r="F31" i="6"/>
  <c r="F383" i="6"/>
  <c r="F385" i="6"/>
  <c r="F389" i="6"/>
  <c r="F390" i="6"/>
  <c r="F392" i="6"/>
  <c r="D127" i="6"/>
  <c r="D129" i="6"/>
  <c r="D91" i="6"/>
  <c r="D92" i="6"/>
  <c r="D94" i="6"/>
  <c r="D104" i="6"/>
  <c r="D106" i="6"/>
  <c r="D108" i="6"/>
  <c r="D96" i="6"/>
  <c r="D97" i="6"/>
  <c r="D98" i="6"/>
  <c r="D100" i="6"/>
  <c r="D110" i="6"/>
  <c r="D111" i="6"/>
  <c r="D113" i="6"/>
  <c r="D115" i="6"/>
  <c r="D118" i="6"/>
  <c r="D120" i="6"/>
  <c r="D124" i="6"/>
  <c r="D132" i="6"/>
  <c r="D321" i="6"/>
  <c r="D193" i="6"/>
  <c r="D196" i="6"/>
  <c r="D202" i="6"/>
  <c r="D322" i="6"/>
  <c r="D217" i="6"/>
  <c r="C216" i="6"/>
  <c r="D216" i="6"/>
  <c r="D218" i="6"/>
  <c r="D219" i="6"/>
  <c r="D220" i="6"/>
  <c r="D221" i="6"/>
  <c r="D319" i="6"/>
  <c r="D323" i="6"/>
  <c r="D324" i="6"/>
  <c r="D131" i="6"/>
  <c r="D317" i="6"/>
  <c r="D318" i="6"/>
  <c r="D320" i="6"/>
  <c r="D325" i="6"/>
  <c r="D333" i="6"/>
  <c r="D43" i="6"/>
  <c r="D53" i="6"/>
  <c r="D55" i="6"/>
  <c r="D57" i="6"/>
  <c r="D45" i="6"/>
  <c r="D46" i="6"/>
  <c r="D47" i="6"/>
  <c r="D49" i="6"/>
  <c r="D59" i="6"/>
  <c r="D60" i="6"/>
  <c r="D62" i="6"/>
  <c r="D64" i="6"/>
  <c r="D67" i="6"/>
  <c r="D69" i="6"/>
  <c r="D73" i="6"/>
  <c r="D76" i="6"/>
  <c r="D78" i="6"/>
  <c r="D81" i="6"/>
  <c r="D298" i="6"/>
  <c r="D195" i="6"/>
  <c r="D201" i="6"/>
  <c r="D299" i="6"/>
  <c r="D210" i="6"/>
  <c r="D213" i="6"/>
  <c r="D296" i="6"/>
  <c r="D300" i="6"/>
  <c r="D301" i="6"/>
  <c r="D80" i="6"/>
  <c r="D294" i="6"/>
  <c r="D295" i="6"/>
  <c r="D297" i="6"/>
  <c r="D305" i="6"/>
  <c r="D307" i="6"/>
  <c r="D312" i="6"/>
  <c r="E43" i="6"/>
  <c r="E53" i="6"/>
  <c r="E55" i="6"/>
  <c r="E57" i="6"/>
  <c r="E64" i="6"/>
  <c r="E67" i="6"/>
  <c r="E69" i="6"/>
  <c r="E73" i="6"/>
  <c r="E76" i="6"/>
  <c r="E78" i="6"/>
  <c r="E81" i="6"/>
  <c r="E298" i="6"/>
  <c r="E195" i="6"/>
  <c r="E201" i="6"/>
  <c r="E299" i="6"/>
  <c r="E210" i="6"/>
  <c r="E213" i="6"/>
  <c r="E296" i="6"/>
  <c r="E300" i="6"/>
  <c r="E301" i="6"/>
  <c r="E80" i="6"/>
  <c r="E294" i="6"/>
  <c r="E295" i="6"/>
  <c r="E297" i="6"/>
  <c r="E305" i="6"/>
  <c r="E307" i="6"/>
  <c r="E312" i="6"/>
  <c r="G40" i="6"/>
  <c r="G41" i="6"/>
  <c r="G42" i="6"/>
  <c r="G43" i="6"/>
  <c r="G52" i="6"/>
  <c r="G53" i="6"/>
  <c r="G55" i="6"/>
  <c r="G57" i="6"/>
  <c r="G45" i="6"/>
  <c r="G46" i="6"/>
  <c r="G47" i="6"/>
  <c r="G49" i="6"/>
  <c r="G59" i="6"/>
  <c r="G60" i="6"/>
  <c r="G62" i="6"/>
  <c r="G64" i="6"/>
  <c r="G66" i="6"/>
  <c r="G67" i="6"/>
  <c r="G69" i="6"/>
  <c r="G71" i="6"/>
  <c r="G73" i="6"/>
  <c r="G75" i="6"/>
  <c r="G76" i="6"/>
  <c r="G78" i="6"/>
  <c r="G81" i="6"/>
  <c r="G298" i="6"/>
  <c r="G192" i="6"/>
  <c r="G195" i="6"/>
  <c r="G201" i="6"/>
  <c r="G299" i="6"/>
  <c r="G209" i="6"/>
  <c r="G210" i="6"/>
  <c r="G213" i="6"/>
  <c r="G296" i="6"/>
  <c r="G300" i="6"/>
  <c r="G301" i="6"/>
  <c r="G80" i="6"/>
  <c r="G294" i="6"/>
  <c r="G295" i="6"/>
  <c r="G297" i="6"/>
  <c r="G304" i="6"/>
  <c r="G305" i="6"/>
  <c r="G306" i="6"/>
  <c r="G307" i="6"/>
  <c r="G312" i="6"/>
  <c r="H40" i="6"/>
  <c r="H41" i="6"/>
  <c r="H42" i="6"/>
  <c r="H43" i="6"/>
  <c r="H52" i="6"/>
  <c r="H53" i="6"/>
  <c r="H55" i="6"/>
  <c r="H57" i="6"/>
  <c r="H45" i="6"/>
  <c r="H46" i="6"/>
  <c r="H47" i="6"/>
  <c r="H49" i="6"/>
  <c r="H59" i="6"/>
  <c r="H60" i="6"/>
  <c r="H62" i="6"/>
  <c r="H64" i="6"/>
  <c r="H66" i="6"/>
  <c r="H67" i="6"/>
  <c r="H69" i="6"/>
  <c r="H71" i="6"/>
  <c r="H73" i="6"/>
  <c r="H75" i="6"/>
  <c r="H76" i="6"/>
  <c r="H78" i="6"/>
  <c r="H81" i="6"/>
  <c r="H298" i="6"/>
  <c r="H192" i="6"/>
  <c r="H195" i="6"/>
  <c r="H201" i="6"/>
  <c r="H299" i="6"/>
  <c r="H209" i="6"/>
  <c r="H210" i="6"/>
  <c r="H213" i="6"/>
  <c r="H296" i="6"/>
  <c r="H300" i="6"/>
  <c r="H301" i="6"/>
  <c r="H80" i="6"/>
  <c r="H294" i="6"/>
  <c r="H295" i="6"/>
  <c r="H297" i="6"/>
  <c r="H304" i="6"/>
  <c r="H305" i="6"/>
  <c r="H306" i="6"/>
  <c r="H307" i="6"/>
  <c r="H312" i="6"/>
  <c r="J312" i="6"/>
  <c r="E126" i="6"/>
  <c r="E127" i="6"/>
  <c r="E129" i="6"/>
  <c r="E91" i="6"/>
  <c r="E92" i="6"/>
  <c r="E94" i="6"/>
  <c r="E103" i="6"/>
  <c r="E104" i="6"/>
  <c r="E106" i="6"/>
  <c r="E108" i="6"/>
  <c r="E96" i="6"/>
  <c r="E97" i="6"/>
  <c r="E98" i="6"/>
  <c r="E100" i="6"/>
  <c r="E110" i="6"/>
  <c r="E111" i="6"/>
  <c r="E113" i="6"/>
  <c r="E115" i="6"/>
  <c r="E117" i="6"/>
  <c r="E118" i="6"/>
  <c r="E120" i="6"/>
  <c r="E122" i="6"/>
  <c r="E124" i="6"/>
  <c r="E132" i="6"/>
  <c r="E321" i="6"/>
  <c r="F126" i="6"/>
  <c r="F127" i="6"/>
  <c r="F129" i="6"/>
  <c r="F91" i="6"/>
  <c r="F92" i="6"/>
  <c r="F94" i="6"/>
  <c r="F103" i="6"/>
  <c r="F104" i="6"/>
  <c r="F106" i="6"/>
  <c r="F108" i="6"/>
  <c r="F96" i="6"/>
  <c r="F97" i="6"/>
  <c r="F98" i="6"/>
  <c r="F100" i="6"/>
  <c r="F110" i="6"/>
  <c r="F111" i="6"/>
  <c r="F113" i="6"/>
  <c r="F115" i="6"/>
  <c r="F117" i="6"/>
  <c r="F118" i="6"/>
  <c r="F120" i="6"/>
  <c r="F122" i="6"/>
  <c r="F124" i="6"/>
  <c r="F132" i="6"/>
  <c r="F321" i="6"/>
  <c r="G126" i="6"/>
  <c r="G127" i="6"/>
  <c r="G129" i="6"/>
  <c r="G91" i="6"/>
  <c r="G92" i="6"/>
  <c r="G93" i="6"/>
  <c r="G94" i="6"/>
  <c r="G103" i="6"/>
  <c r="G104" i="6"/>
  <c r="G106" i="6"/>
  <c r="G108" i="6"/>
  <c r="G96" i="6"/>
  <c r="G97" i="6"/>
  <c r="G98" i="6"/>
  <c r="G100" i="6"/>
  <c r="G110" i="6"/>
  <c r="G111" i="6"/>
  <c r="G113" i="6"/>
  <c r="G115" i="6"/>
  <c r="G117" i="6"/>
  <c r="G118" i="6"/>
  <c r="G120" i="6"/>
  <c r="G122" i="6"/>
  <c r="G124" i="6"/>
  <c r="G132" i="6"/>
  <c r="G321" i="6"/>
  <c r="H126" i="6"/>
  <c r="H127" i="6"/>
  <c r="H129" i="6"/>
  <c r="H91" i="6"/>
  <c r="H92" i="6"/>
  <c r="H93" i="6"/>
  <c r="H94" i="6"/>
  <c r="H103" i="6"/>
  <c r="H104" i="6"/>
  <c r="H106" i="6"/>
  <c r="H108" i="6"/>
  <c r="H96" i="6"/>
  <c r="H97" i="6"/>
  <c r="H98" i="6"/>
  <c r="H100" i="6"/>
  <c r="H110" i="6"/>
  <c r="H111" i="6"/>
  <c r="H113" i="6"/>
  <c r="H115" i="6"/>
  <c r="H117" i="6"/>
  <c r="H118" i="6"/>
  <c r="H120" i="6"/>
  <c r="H122" i="6"/>
  <c r="H124" i="6"/>
  <c r="H132" i="6"/>
  <c r="H321" i="6"/>
  <c r="E131" i="6"/>
  <c r="E317" i="6"/>
  <c r="F131" i="6"/>
  <c r="F317" i="6"/>
  <c r="G131" i="6"/>
  <c r="G317" i="6"/>
  <c r="H131" i="6"/>
  <c r="H317" i="6"/>
  <c r="H135" i="6"/>
  <c r="G135" i="6"/>
  <c r="F135" i="6"/>
  <c r="E135" i="6"/>
  <c r="D135" i="6"/>
  <c r="H133" i="6"/>
  <c r="G133" i="6"/>
  <c r="F133" i="6"/>
  <c r="E133" i="6"/>
  <c r="D133" i="6"/>
  <c r="H102" i="6"/>
  <c r="G102" i="6"/>
  <c r="F102" i="6"/>
  <c r="E102" i="6"/>
  <c r="D102" i="6"/>
  <c r="C96" i="6"/>
  <c r="C97" i="6"/>
  <c r="C98" i="6"/>
  <c r="C100" i="6"/>
  <c r="C94" i="6"/>
  <c r="D51" i="6"/>
  <c r="F409" i="6"/>
  <c r="E193" i="6"/>
  <c r="F193" i="6"/>
  <c r="F196" i="6"/>
  <c r="F202" i="6"/>
  <c r="F322" i="6"/>
  <c r="F216" i="6"/>
  <c r="E216" i="6"/>
  <c r="E217" i="6"/>
  <c r="F217" i="6"/>
  <c r="F218" i="6"/>
  <c r="E219" i="6"/>
  <c r="F219" i="6"/>
  <c r="E220" i="6"/>
  <c r="F220" i="6"/>
  <c r="F221" i="6"/>
  <c r="F319" i="6"/>
  <c r="F323" i="6"/>
  <c r="F324" i="6"/>
  <c r="F318" i="6"/>
  <c r="F320" i="6"/>
  <c r="E327" i="6"/>
  <c r="F327" i="6"/>
  <c r="F328" i="6"/>
  <c r="F332" i="6"/>
  <c r="F325" i="6"/>
  <c r="F333" i="6"/>
  <c r="F334" i="6"/>
  <c r="E329" i="6"/>
  <c r="F329" i="6"/>
  <c r="F330" i="6"/>
  <c r="F339" i="6"/>
  <c r="F403" i="6"/>
  <c r="D260" i="6"/>
  <c r="E260" i="6"/>
  <c r="F260" i="6"/>
  <c r="F261" i="6"/>
  <c r="F263" i="6"/>
  <c r="F265" i="6"/>
  <c r="G216" i="6"/>
  <c r="H216" i="6"/>
  <c r="L216" i="6"/>
  <c r="K267" i="6"/>
  <c r="F267" i="6"/>
  <c r="F268" i="6"/>
  <c r="F270" i="6"/>
  <c r="F273" i="6"/>
  <c r="F404" i="6"/>
  <c r="F405" i="6"/>
  <c r="F411" i="6"/>
  <c r="F415" i="6"/>
  <c r="F416" i="6"/>
  <c r="F418" i="6"/>
  <c r="D194" i="6"/>
  <c r="E194" i="6"/>
  <c r="F194" i="6"/>
  <c r="F197" i="6"/>
  <c r="F345" i="6"/>
  <c r="F224" i="6"/>
  <c r="D225" i="6"/>
  <c r="E224" i="6"/>
  <c r="E225" i="6"/>
  <c r="D224" i="6"/>
  <c r="F225" i="6"/>
  <c r="C224" i="6"/>
  <c r="F226" i="6"/>
  <c r="D227" i="6"/>
  <c r="E227" i="6"/>
  <c r="F227" i="6"/>
  <c r="D228" i="6"/>
  <c r="E228" i="6"/>
  <c r="F228" i="6"/>
  <c r="F229" i="6"/>
  <c r="F231" i="6"/>
  <c r="D232" i="6"/>
  <c r="E231" i="6"/>
  <c r="E232" i="6"/>
  <c r="D231" i="6"/>
  <c r="F232" i="6"/>
  <c r="C231" i="6"/>
  <c r="F233" i="6"/>
  <c r="D234" i="6"/>
  <c r="E234" i="6"/>
  <c r="F234" i="6"/>
  <c r="D235" i="6"/>
  <c r="E235" i="6"/>
  <c r="F235" i="6"/>
  <c r="F236" i="6"/>
  <c r="F238" i="6"/>
  <c r="F346" i="6"/>
  <c r="F347" i="6"/>
  <c r="E354" i="6"/>
  <c r="F354" i="6"/>
  <c r="F355" i="6"/>
  <c r="F359" i="6"/>
  <c r="F203" i="6"/>
  <c r="F349" i="6"/>
  <c r="F350" i="6"/>
  <c r="F351" i="6"/>
  <c r="F352" i="6"/>
  <c r="F360" i="6"/>
  <c r="F361" i="6"/>
  <c r="E356" i="6"/>
  <c r="F356" i="6"/>
  <c r="F357" i="6"/>
  <c r="F366" i="6"/>
  <c r="F429" i="6"/>
  <c r="D277" i="6"/>
  <c r="E277" i="6"/>
  <c r="F277" i="6"/>
  <c r="F278" i="6"/>
  <c r="F280" i="6"/>
  <c r="F282" i="6"/>
  <c r="G224" i="6"/>
  <c r="H224" i="6"/>
  <c r="L224" i="6"/>
  <c r="K284" i="6"/>
  <c r="F284" i="6"/>
  <c r="F285" i="6"/>
  <c r="F287" i="6"/>
  <c r="F290" i="6"/>
  <c r="F430" i="6"/>
  <c r="F431" i="6"/>
  <c r="F435" i="6"/>
  <c r="F437" i="6"/>
  <c r="F441" i="6"/>
  <c r="F442" i="6"/>
  <c r="F444" i="6"/>
  <c r="F446" i="6"/>
  <c r="F420" i="6"/>
  <c r="F394" i="6"/>
  <c r="E6" i="6"/>
  <c r="E10" i="6"/>
  <c r="E22" i="6"/>
  <c r="E12" i="6"/>
  <c r="E23" i="6"/>
  <c r="E14" i="6"/>
  <c r="E24" i="6"/>
  <c r="E20" i="6"/>
  <c r="E26" i="6"/>
  <c r="E31" i="6"/>
  <c r="E435" i="6"/>
  <c r="G6" i="6"/>
  <c r="G10" i="6"/>
  <c r="G22" i="6"/>
  <c r="G12" i="6"/>
  <c r="G23" i="6"/>
  <c r="G14" i="6"/>
  <c r="G24" i="6"/>
  <c r="G20" i="6"/>
  <c r="G26" i="6"/>
  <c r="G31" i="6"/>
  <c r="G435" i="6"/>
  <c r="H6" i="6"/>
  <c r="H10" i="6"/>
  <c r="H22" i="6"/>
  <c r="H12" i="6"/>
  <c r="H23" i="6"/>
  <c r="H14" i="6"/>
  <c r="H24" i="6"/>
  <c r="H20" i="6"/>
  <c r="H26" i="6"/>
  <c r="H31" i="6"/>
  <c r="H435" i="6"/>
  <c r="D6" i="6"/>
  <c r="D10" i="6"/>
  <c r="D22" i="6"/>
  <c r="D12" i="6"/>
  <c r="D23" i="6"/>
  <c r="D14" i="6"/>
  <c r="D24" i="6"/>
  <c r="D20" i="6"/>
  <c r="D26" i="6"/>
  <c r="D31" i="6"/>
  <c r="D435" i="6"/>
  <c r="E278" i="6"/>
  <c r="E280" i="6"/>
  <c r="E282" i="6"/>
  <c r="E284" i="6"/>
  <c r="E285" i="6"/>
  <c r="E287" i="6"/>
  <c r="E290" i="6"/>
  <c r="E430" i="6"/>
  <c r="G277" i="6"/>
  <c r="G278" i="6"/>
  <c r="G280" i="6"/>
  <c r="G282" i="6"/>
  <c r="G284" i="6"/>
  <c r="G285" i="6"/>
  <c r="G287" i="6"/>
  <c r="G290" i="6"/>
  <c r="G430" i="6"/>
  <c r="H277" i="6"/>
  <c r="H278" i="6"/>
  <c r="H280" i="6"/>
  <c r="H282" i="6"/>
  <c r="H284" i="6"/>
  <c r="H285" i="6"/>
  <c r="H287" i="6"/>
  <c r="H290" i="6"/>
  <c r="H430" i="6"/>
  <c r="D278" i="6"/>
  <c r="D280" i="6"/>
  <c r="D282" i="6"/>
  <c r="D284" i="6"/>
  <c r="D285" i="6"/>
  <c r="D287" i="6"/>
  <c r="D290" i="6"/>
  <c r="D430" i="6"/>
  <c r="E197" i="6"/>
  <c r="E203" i="6"/>
  <c r="E349" i="6"/>
  <c r="E226" i="6"/>
  <c r="E229" i="6"/>
  <c r="E233" i="6"/>
  <c r="E236" i="6"/>
  <c r="E238" i="6"/>
  <c r="E346" i="6"/>
  <c r="E350" i="6"/>
  <c r="E351" i="6"/>
  <c r="E345" i="6"/>
  <c r="E347" i="6"/>
  <c r="E355" i="6"/>
  <c r="E359" i="6"/>
  <c r="E352" i="6"/>
  <c r="E360" i="6"/>
  <c r="E361" i="6"/>
  <c r="E357" i="6"/>
  <c r="E366" i="6"/>
  <c r="E429" i="6"/>
  <c r="G194" i="6"/>
  <c r="G197" i="6"/>
  <c r="G203" i="6"/>
  <c r="G349" i="6"/>
  <c r="G225" i="6"/>
  <c r="G226" i="6"/>
  <c r="G227" i="6"/>
  <c r="G228" i="6"/>
  <c r="G229" i="6"/>
  <c r="G231" i="6"/>
  <c r="G232" i="6"/>
  <c r="G233" i="6"/>
  <c r="G234" i="6"/>
  <c r="G235" i="6"/>
  <c r="G236" i="6"/>
  <c r="G238" i="6"/>
  <c r="G346" i="6"/>
  <c r="G350" i="6"/>
  <c r="G351" i="6"/>
  <c r="G345" i="6"/>
  <c r="G347" i="6"/>
  <c r="G354" i="6"/>
  <c r="G355" i="6"/>
  <c r="G359" i="6"/>
  <c r="G352" i="6"/>
  <c r="G360" i="6"/>
  <c r="G361" i="6"/>
  <c r="G356" i="6"/>
  <c r="G357" i="6"/>
  <c r="G366" i="6"/>
  <c r="G429" i="6"/>
  <c r="H194" i="6"/>
  <c r="H197" i="6"/>
  <c r="H203" i="6"/>
  <c r="H349" i="6"/>
  <c r="H225" i="6"/>
  <c r="H226" i="6"/>
  <c r="H227" i="6"/>
  <c r="H228" i="6"/>
  <c r="H229" i="6"/>
  <c r="H231" i="6"/>
  <c r="H232" i="6"/>
  <c r="H233" i="6"/>
  <c r="H234" i="6"/>
  <c r="H235" i="6"/>
  <c r="H236" i="6"/>
  <c r="H238" i="6"/>
  <c r="H346" i="6"/>
  <c r="H350" i="6"/>
  <c r="H351" i="6"/>
  <c r="H345" i="6"/>
  <c r="H347" i="6"/>
  <c r="H354" i="6"/>
  <c r="H355" i="6"/>
  <c r="H359" i="6"/>
  <c r="H352" i="6"/>
  <c r="H360" i="6"/>
  <c r="H361" i="6"/>
  <c r="H356" i="6"/>
  <c r="H357" i="6"/>
  <c r="H366" i="6"/>
  <c r="H429" i="6"/>
  <c r="D197" i="6"/>
  <c r="D203" i="6"/>
  <c r="D349" i="6"/>
  <c r="D226" i="6"/>
  <c r="D229" i="6"/>
  <c r="D233" i="6"/>
  <c r="D236" i="6"/>
  <c r="D238" i="6"/>
  <c r="D346" i="6"/>
  <c r="D350" i="6"/>
  <c r="D351" i="6"/>
  <c r="D345" i="6"/>
  <c r="D347" i="6"/>
  <c r="D355" i="6"/>
  <c r="D359" i="6"/>
  <c r="D352" i="6"/>
  <c r="D360" i="6"/>
  <c r="D361" i="6"/>
  <c r="D357" i="6"/>
  <c r="D366" i="6"/>
  <c r="D429" i="6"/>
  <c r="E289" i="6"/>
  <c r="E426" i="6"/>
  <c r="F289" i="6"/>
  <c r="F426" i="6"/>
  <c r="G289" i="6"/>
  <c r="G426" i="6"/>
  <c r="H289" i="6"/>
  <c r="H426" i="6"/>
  <c r="D289" i="6"/>
  <c r="D426" i="6"/>
  <c r="E363" i="6"/>
  <c r="E364" i="6"/>
  <c r="E365" i="6"/>
  <c r="E425" i="6"/>
  <c r="F363" i="6"/>
  <c r="F364" i="6"/>
  <c r="F365" i="6"/>
  <c r="F425" i="6"/>
  <c r="G363" i="6"/>
  <c r="G364" i="6"/>
  <c r="G365" i="6"/>
  <c r="G425" i="6"/>
  <c r="H363" i="6"/>
  <c r="H364" i="6"/>
  <c r="H365" i="6"/>
  <c r="H425" i="6"/>
  <c r="D363" i="6"/>
  <c r="D364" i="6"/>
  <c r="D365" i="6"/>
  <c r="D425" i="6"/>
  <c r="H431" i="6"/>
  <c r="H437" i="6"/>
  <c r="G431" i="6"/>
  <c r="G437" i="6"/>
  <c r="E431" i="6"/>
  <c r="E437" i="6"/>
  <c r="D431" i="6"/>
  <c r="D437" i="6"/>
  <c r="H427" i="6"/>
  <c r="H433" i="6"/>
  <c r="G427" i="6"/>
  <c r="G433" i="6"/>
  <c r="F427" i="6"/>
  <c r="F433" i="6"/>
  <c r="E427" i="6"/>
  <c r="E433" i="6"/>
  <c r="D427" i="6"/>
  <c r="D433" i="6"/>
  <c r="G193" i="6"/>
  <c r="H193" i="6"/>
  <c r="H196" i="6"/>
  <c r="H202" i="6"/>
  <c r="H322" i="6"/>
  <c r="G217" i="6"/>
  <c r="H217" i="6"/>
  <c r="H218" i="6"/>
  <c r="G219" i="6"/>
  <c r="H219" i="6"/>
  <c r="G220" i="6"/>
  <c r="H220" i="6"/>
  <c r="H221" i="6"/>
  <c r="H319" i="6"/>
  <c r="H323" i="6"/>
  <c r="H324" i="6"/>
  <c r="H318" i="6"/>
  <c r="H320" i="6"/>
  <c r="G327" i="6"/>
  <c r="H327" i="6"/>
  <c r="H328" i="6"/>
  <c r="H332" i="6"/>
  <c r="H325" i="6"/>
  <c r="H333" i="6"/>
  <c r="H334" i="6"/>
  <c r="G329" i="6"/>
  <c r="H329" i="6"/>
  <c r="H330" i="6"/>
  <c r="H339" i="6"/>
  <c r="H403" i="6"/>
  <c r="G260" i="6"/>
  <c r="H260" i="6"/>
  <c r="H261" i="6"/>
  <c r="H263" i="6"/>
  <c r="H265" i="6"/>
  <c r="H267" i="6"/>
  <c r="H268" i="6"/>
  <c r="H270" i="6"/>
  <c r="H273" i="6"/>
  <c r="H404" i="6"/>
  <c r="H405" i="6"/>
  <c r="H409" i="6"/>
  <c r="H411" i="6"/>
  <c r="G196" i="6"/>
  <c r="G202" i="6"/>
  <c r="G322" i="6"/>
  <c r="G218" i="6"/>
  <c r="G221" i="6"/>
  <c r="G319" i="6"/>
  <c r="G323" i="6"/>
  <c r="G324" i="6"/>
  <c r="G318" i="6"/>
  <c r="G320" i="6"/>
  <c r="G328" i="6"/>
  <c r="G332" i="6"/>
  <c r="G325" i="6"/>
  <c r="G333" i="6"/>
  <c r="G334" i="6"/>
  <c r="G330" i="6"/>
  <c r="G339" i="6"/>
  <c r="G403" i="6"/>
  <c r="G261" i="6"/>
  <c r="G263" i="6"/>
  <c r="G265" i="6"/>
  <c r="G267" i="6"/>
  <c r="G268" i="6"/>
  <c r="G270" i="6"/>
  <c r="G273" i="6"/>
  <c r="G404" i="6"/>
  <c r="G405" i="6"/>
  <c r="G409" i="6"/>
  <c r="G411" i="6"/>
  <c r="E196" i="6"/>
  <c r="E202" i="6"/>
  <c r="E322" i="6"/>
  <c r="E218" i="6"/>
  <c r="E221" i="6"/>
  <c r="E319" i="6"/>
  <c r="E323" i="6"/>
  <c r="E324" i="6"/>
  <c r="E318" i="6"/>
  <c r="E320" i="6"/>
  <c r="E328" i="6"/>
  <c r="E332" i="6"/>
  <c r="E325" i="6"/>
  <c r="E333" i="6"/>
  <c r="E334" i="6"/>
  <c r="E330" i="6"/>
  <c r="E339" i="6"/>
  <c r="E403" i="6"/>
  <c r="E261" i="6"/>
  <c r="E263" i="6"/>
  <c r="E265" i="6"/>
  <c r="E267" i="6"/>
  <c r="E268" i="6"/>
  <c r="E270" i="6"/>
  <c r="E273" i="6"/>
  <c r="E404" i="6"/>
  <c r="E405" i="6"/>
  <c r="E409" i="6"/>
  <c r="E411" i="6"/>
  <c r="D328" i="6"/>
  <c r="D332" i="6"/>
  <c r="D334" i="6"/>
  <c r="D330" i="6"/>
  <c r="D339" i="6"/>
  <c r="D403" i="6"/>
  <c r="D261" i="6"/>
  <c r="D263" i="6"/>
  <c r="D265" i="6"/>
  <c r="D267" i="6"/>
  <c r="D268" i="6"/>
  <c r="D270" i="6"/>
  <c r="D273" i="6"/>
  <c r="D404" i="6"/>
  <c r="D405" i="6"/>
  <c r="D409" i="6"/>
  <c r="D411" i="6"/>
  <c r="H336" i="6"/>
  <c r="H337" i="6"/>
  <c r="H338" i="6"/>
  <c r="H399" i="6"/>
  <c r="H272" i="6"/>
  <c r="H400" i="6"/>
  <c r="H401" i="6"/>
  <c r="H407" i="6"/>
  <c r="G336" i="6"/>
  <c r="G337" i="6"/>
  <c r="G338" i="6"/>
  <c r="G399" i="6"/>
  <c r="G272" i="6"/>
  <c r="G400" i="6"/>
  <c r="G401" i="6"/>
  <c r="G407" i="6"/>
  <c r="F336" i="6"/>
  <c r="F337" i="6"/>
  <c r="F338" i="6"/>
  <c r="F399" i="6"/>
  <c r="F272" i="6"/>
  <c r="F400" i="6"/>
  <c r="F401" i="6"/>
  <c r="F407" i="6"/>
  <c r="E336" i="6"/>
  <c r="E337" i="6"/>
  <c r="E338" i="6"/>
  <c r="E399" i="6"/>
  <c r="E272" i="6"/>
  <c r="E400" i="6"/>
  <c r="E401" i="6"/>
  <c r="E407" i="6"/>
  <c r="D336" i="6"/>
  <c r="D337" i="6"/>
  <c r="D338" i="6"/>
  <c r="D399" i="6"/>
  <c r="D272" i="6"/>
  <c r="D400" i="6"/>
  <c r="D401" i="6"/>
  <c r="D407" i="6"/>
  <c r="E377" i="6"/>
  <c r="E244" i="6"/>
  <c r="E246" i="6"/>
  <c r="E248" i="6"/>
  <c r="E250" i="6"/>
  <c r="E251" i="6"/>
  <c r="E253" i="6"/>
  <c r="E256" i="6"/>
  <c r="E378" i="6"/>
  <c r="E379" i="6"/>
  <c r="E383" i="6"/>
  <c r="E385" i="6"/>
  <c r="G377" i="6"/>
  <c r="G243" i="6"/>
  <c r="G244" i="6"/>
  <c r="G246" i="6"/>
  <c r="G248" i="6"/>
  <c r="G250" i="6"/>
  <c r="G251" i="6"/>
  <c r="G253" i="6"/>
  <c r="G256" i="6"/>
  <c r="G378" i="6"/>
  <c r="G379" i="6"/>
  <c r="G383" i="6"/>
  <c r="G385" i="6"/>
  <c r="H377" i="6"/>
  <c r="H243" i="6"/>
  <c r="H244" i="6"/>
  <c r="H246" i="6"/>
  <c r="H248" i="6"/>
  <c r="H250" i="6"/>
  <c r="H251" i="6"/>
  <c r="H253" i="6"/>
  <c r="H256" i="6"/>
  <c r="H378" i="6"/>
  <c r="H379" i="6"/>
  <c r="H383" i="6"/>
  <c r="H385" i="6"/>
  <c r="D377" i="6"/>
  <c r="D244" i="6"/>
  <c r="D246" i="6"/>
  <c r="D248" i="6"/>
  <c r="D250" i="6"/>
  <c r="D251" i="6"/>
  <c r="D253" i="6"/>
  <c r="D256" i="6"/>
  <c r="D378" i="6"/>
  <c r="D379" i="6"/>
  <c r="D383" i="6"/>
  <c r="D385" i="6"/>
  <c r="E309" i="6"/>
  <c r="E310" i="6"/>
  <c r="E311" i="6"/>
  <c r="E373" i="6"/>
  <c r="E255" i="6"/>
  <c r="E374" i="6"/>
  <c r="E375" i="6"/>
  <c r="E381" i="6"/>
  <c r="F309" i="6"/>
  <c r="F310" i="6"/>
  <c r="F311" i="6"/>
  <c r="F373" i="6"/>
  <c r="F255" i="6"/>
  <c r="F374" i="6"/>
  <c r="F375" i="6"/>
  <c r="F381" i="6"/>
  <c r="G309" i="6"/>
  <c r="G310" i="6"/>
  <c r="G311" i="6"/>
  <c r="G373" i="6"/>
  <c r="G255" i="6"/>
  <c r="G374" i="6"/>
  <c r="G375" i="6"/>
  <c r="G381" i="6"/>
  <c r="H309" i="6"/>
  <c r="H310" i="6"/>
  <c r="H311" i="6"/>
  <c r="H373" i="6"/>
  <c r="H255" i="6"/>
  <c r="H374" i="6"/>
  <c r="H375" i="6"/>
  <c r="H381" i="6"/>
  <c r="D309" i="6"/>
  <c r="D310" i="6"/>
  <c r="D311" i="6"/>
  <c r="D373" i="6"/>
  <c r="D255" i="6"/>
  <c r="D374" i="6"/>
  <c r="D375" i="6"/>
  <c r="D381" i="6"/>
  <c r="C278" i="6"/>
  <c r="B278" i="6"/>
  <c r="C261" i="6"/>
  <c r="B261" i="6"/>
  <c r="C244" i="6"/>
  <c r="B244" i="6"/>
  <c r="J339" i="6"/>
  <c r="E302" i="6"/>
  <c r="F302" i="6"/>
  <c r="G302" i="6"/>
  <c r="H302" i="6"/>
  <c r="D302" i="6"/>
  <c r="E313" i="6"/>
  <c r="C226" i="6"/>
  <c r="C229" i="6"/>
  <c r="C233" i="6"/>
  <c r="C236" i="6"/>
  <c r="C238" i="6"/>
  <c r="C218" i="6"/>
  <c r="C221" i="6"/>
  <c r="C210" i="6"/>
  <c r="C213" i="6"/>
  <c r="J366" i="6"/>
  <c r="D340" i="6"/>
  <c r="D367" i="6"/>
  <c r="H369" i="6"/>
  <c r="G369" i="6"/>
  <c r="F369" i="6"/>
  <c r="E369" i="6"/>
  <c r="D369" i="6"/>
  <c r="H367" i="6"/>
  <c r="G367" i="6"/>
  <c r="F367" i="6"/>
  <c r="E367" i="6"/>
  <c r="H342" i="6"/>
  <c r="G342" i="6"/>
  <c r="F342" i="6"/>
  <c r="E342" i="6"/>
  <c r="D342" i="6"/>
  <c r="E340" i="6"/>
  <c r="F340" i="6"/>
  <c r="G340" i="6"/>
  <c r="H340" i="6"/>
  <c r="E315" i="6"/>
  <c r="F315" i="6"/>
  <c r="G315" i="6"/>
  <c r="H315" i="6"/>
  <c r="D315" i="6"/>
  <c r="H313" i="6"/>
  <c r="G313" i="6"/>
  <c r="F313" i="6"/>
  <c r="D313" i="6"/>
  <c r="C190" i="6"/>
  <c r="C10" i="6"/>
  <c r="C22" i="6"/>
  <c r="C12" i="6"/>
  <c r="C23" i="6"/>
  <c r="C14" i="6"/>
  <c r="C24" i="6"/>
  <c r="C20" i="6"/>
  <c r="C26" i="6"/>
  <c r="C29" i="6"/>
  <c r="C33" i="6"/>
  <c r="D29" i="6"/>
  <c r="D33" i="6"/>
  <c r="E29" i="6"/>
  <c r="E33" i="6"/>
  <c r="F29" i="6"/>
  <c r="F33" i="6"/>
  <c r="G29" i="6"/>
  <c r="G33" i="6"/>
  <c r="H29" i="6"/>
  <c r="H33" i="6"/>
  <c r="B6" i="6"/>
  <c r="B10" i="6"/>
  <c r="B22" i="6"/>
  <c r="B12" i="6"/>
  <c r="B23" i="6"/>
  <c r="B14" i="6"/>
  <c r="B24" i="6"/>
  <c r="B18" i="6"/>
  <c r="B19" i="6"/>
  <c r="B20" i="6"/>
  <c r="B26" i="6"/>
  <c r="B29" i="6"/>
  <c r="B33" i="6"/>
  <c r="D16" i="6"/>
  <c r="E16" i="6"/>
  <c r="F16" i="6"/>
  <c r="G16" i="6"/>
  <c r="H16" i="6"/>
  <c r="D17" i="6"/>
  <c r="E17" i="6"/>
  <c r="F17" i="6"/>
  <c r="G17" i="6"/>
  <c r="H17" i="6"/>
  <c r="C17" i="6"/>
  <c r="C16" i="6"/>
  <c r="C30" i="6"/>
  <c r="D30" i="6"/>
  <c r="E30" i="6"/>
  <c r="F30" i="6"/>
  <c r="G30" i="6"/>
  <c r="H30" i="6"/>
  <c r="B30" i="6"/>
  <c r="E84" i="6"/>
  <c r="F84" i="6"/>
  <c r="G84" i="6"/>
  <c r="H84" i="6"/>
  <c r="D84" i="6"/>
  <c r="E82" i="6"/>
  <c r="F82" i="6"/>
  <c r="G82" i="6"/>
  <c r="H82" i="6"/>
  <c r="D82" i="6"/>
  <c r="AD48" i="7"/>
  <c r="AF47" i="7"/>
  <c r="AE48" i="7"/>
  <c r="AD47" i="7"/>
  <c r="C43" i="6"/>
  <c r="Z61" i="7"/>
  <c r="Y61" i="7"/>
  <c r="X61" i="7"/>
  <c r="H45" i="8"/>
  <c r="H46" i="8"/>
  <c r="H47" i="8"/>
  <c r="H48" i="8"/>
  <c r="H49" i="8"/>
  <c r="H50" i="8"/>
  <c r="H52" i="8"/>
  <c r="H55" i="8"/>
  <c r="H56" i="8"/>
  <c r="H60" i="8"/>
  <c r="G45" i="8"/>
  <c r="G46" i="8"/>
  <c r="G47" i="8"/>
  <c r="G48" i="8"/>
  <c r="G49" i="8"/>
  <c r="G50" i="8"/>
  <c r="G52" i="8"/>
  <c r="G55" i="8"/>
  <c r="G56" i="8"/>
  <c r="G60" i="8"/>
  <c r="F45" i="8"/>
  <c r="F46" i="8"/>
  <c r="F47" i="8"/>
  <c r="F48" i="8"/>
  <c r="F49" i="8"/>
  <c r="F50" i="8"/>
  <c r="F52" i="8"/>
  <c r="F55" i="8"/>
  <c r="F56" i="8"/>
  <c r="F60" i="8"/>
  <c r="E45" i="8"/>
  <c r="E46" i="8"/>
  <c r="E47" i="8"/>
  <c r="E48" i="8"/>
  <c r="E49" i="8"/>
  <c r="E50" i="8"/>
  <c r="E52" i="8"/>
  <c r="E55" i="8"/>
  <c r="E56" i="8"/>
  <c r="E60" i="8"/>
  <c r="D45" i="8"/>
  <c r="D46" i="8"/>
  <c r="D47" i="8"/>
  <c r="D48" i="8"/>
  <c r="D49" i="8"/>
  <c r="D50" i="8"/>
  <c r="D52" i="8"/>
  <c r="D55" i="8"/>
  <c r="D56" i="8"/>
  <c r="D60" i="8"/>
  <c r="C45" i="8"/>
  <c r="C46" i="8"/>
  <c r="C47" i="8"/>
  <c r="C48" i="8"/>
  <c r="C49" i="8"/>
  <c r="C50" i="8"/>
  <c r="C52" i="8"/>
  <c r="C55" i="8"/>
  <c r="C56" i="8"/>
  <c r="C60" i="8"/>
  <c r="H58" i="8"/>
  <c r="G58" i="8"/>
  <c r="F58" i="8"/>
  <c r="E58" i="8"/>
  <c r="D58" i="8"/>
  <c r="C58" i="8"/>
  <c r="H57" i="8"/>
  <c r="G57" i="8"/>
  <c r="F57" i="8"/>
  <c r="E57" i="8"/>
  <c r="D57" i="8"/>
  <c r="C57" i="8"/>
  <c r="J56" i="8"/>
  <c r="J45" i="8"/>
  <c r="J46" i="8"/>
  <c r="J47" i="8"/>
  <c r="J48" i="8"/>
  <c r="J49" i="8"/>
  <c r="J50" i="8"/>
  <c r="J52" i="8"/>
  <c r="K56" i="8"/>
  <c r="J55" i="8"/>
  <c r="K55" i="8"/>
  <c r="H53" i="8"/>
  <c r="G53" i="8"/>
  <c r="F53" i="8"/>
  <c r="E53" i="8"/>
  <c r="D53" i="8"/>
  <c r="C53" i="8"/>
  <c r="K50" i="8"/>
  <c r="K49" i="8"/>
  <c r="K48" i="8"/>
  <c r="K47" i="8"/>
  <c r="K46" i="8"/>
  <c r="K45" i="8"/>
  <c r="J38" i="8"/>
  <c r="J37" i="8"/>
  <c r="I34" i="8"/>
  <c r="H34" i="8"/>
  <c r="G34" i="8"/>
  <c r="F34" i="8"/>
  <c r="E34" i="8"/>
  <c r="D34" i="8"/>
  <c r="C34" i="8"/>
  <c r="I33" i="8"/>
  <c r="H33" i="8"/>
  <c r="G33" i="8"/>
  <c r="F33" i="8"/>
  <c r="E33" i="8"/>
  <c r="D33" i="8"/>
  <c r="C33" i="8"/>
  <c r="I32" i="8"/>
  <c r="H32" i="8"/>
  <c r="G32" i="8"/>
  <c r="F32" i="8"/>
  <c r="E32" i="8"/>
  <c r="D32" i="8"/>
  <c r="C32" i="8"/>
  <c r="H12" i="8"/>
  <c r="I31" i="8"/>
  <c r="G12" i="8"/>
  <c r="H31" i="8"/>
  <c r="F12" i="8"/>
  <c r="G31" i="8"/>
  <c r="F31" i="8"/>
  <c r="I30" i="8"/>
  <c r="H30" i="8"/>
  <c r="G30" i="8"/>
  <c r="F30" i="8"/>
  <c r="E30" i="8"/>
  <c r="D30" i="8"/>
  <c r="C30" i="8"/>
  <c r="I29" i="8"/>
  <c r="H29" i="8"/>
  <c r="G29" i="8"/>
  <c r="F29" i="8"/>
  <c r="E29" i="8"/>
  <c r="D29" i="8"/>
  <c r="C29" i="8"/>
  <c r="I24" i="8"/>
  <c r="I25" i="8"/>
  <c r="I26" i="8"/>
  <c r="I27" i="8"/>
  <c r="H24" i="8"/>
  <c r="H25" i="8"/>
  <c r="H26" i="8"/>
  <c r="H27" i="8"/>
  <c r="G24" i="8"/>
  <c r="G25" i="8"/>
  <c r="G26" i="8"/>
  <c r="G27" i="8"/>
  <c r="F24" i="8"/>
  <c r="F25" i="8"/>
  <c r="F26" i="8"/>
  <c r="F27" i="8"/>
  <c r="E24" i="8"/>
  <c r="I21" i="8"/>
  <c r="H21" i="8"/>
  <c r="G21" i="8"/>
  <c r="F21" i="8"/>
  <c r="E21" i="8"/>
  <c r="F15" i="8"/>
  <c r="F5" i="8"/>
  <c r="F6" i="8"/>
  <c r="F16" i="8"/>
  <c r="F17" i="8"/>
  <c r="G15" i="8"/>
  <c r="G5" i="8"/>
  <c r="G6" i="8"/>
  <c r="G16" i="8"/>
  <c r="G17" i="8"/>
  <c r="H15" i="8"/>
  <c r="H5" i="8"/>
  <c r="H6" i="8"/>
  <c r="H16" i="8"/>
  <c r="H17" i="8"/>
  <c r="I15" i="8"/>
  <c r="I5" i="8"/>
  <c r="I6" i="8"/>
  <c r="I16" i="8"/>
  <c r="I17" i="8"/>
  <c r="K17" i="8"/>
  <c r="E5" i="8"/>
  <c r="E6" i="8"/>
  <c r="E16" i="8"/>
  <c r="E17" i="8"/>
  <c r="I12" i="8"/>
  <c r="C8" i="8"/>
  <c r="D8" i="8"/>
  <c r="E8" i="8"/>
  <c r="F8" i="8"/>
  <c r="G8" i="8"/>
  <c r="H8" i="8"/>
  <c r="I8" i="8"/>
  <c r="I11" i="8"/>
  <c r="H11" i="8"/>
  <c r="G11" i="8"/>
  <c r="F11" i="8"/>
  <c r="E11" i="8"/>
  <c r="I10" i="8"/>
  <c r="H10" i="8"/>
  <c r="G10" i="8"/>
  <c r="F10" i="8"/>
  <c r="C45" i="6"/>
  <c r="C46" i="6"/>
  <c r="C47" i="6"/>
  <c r="C49" i="6"/>
  <c r="E51" i="6"/>
  <c r="F51" i="6"/>
  <c r="G51" i="6"/>
  <c r="H51" i="6"/>
  <c r="AB35" i="7"/>
  <c r="AC35" i="7"/>
  <c r="AD35" i="7"/>
  <c r="AE35" i="7"/>
  <c r="AB36" i="7"/>
  <c r="AC36" i="7"/>
  <c r="AD36" i="7"/>
  <c r="AE36" i="7"/>
  <c r="AG36" i="7"/>
  <c r="AF36" i="7"/>
  <c r="AG35" i="7"/>
  <c r="AF35" i="7"/>
  <c r="AC33" i="7"/>
  <c r="AD33" i="7"/>
  <c r="AE33" i="7"/>
  <c r="AF33" i="7"/>
  <c r="AG33" i="7"/>
  <c r="AB33" i="7"/>
  <c r="AE47" i="7"/>
  <c r="AB48" i="7"/>
  <c r="AB47" i="7"/>
  <c r="AD49" i="7"/>
  <c r="AE49" i="7"/>
  <c r="Z49" i="7"/>
  <c r="Y48" i="7"/>
  <c r="Z48" i="7"/>
  <c r="AA48" i="7"/>
  <c r="Y47" i="7"/>
  <c r="Z47" i="7"/>
  <c r="AA47" i="7"/>
  <c r="AA42" i="7"/>
  <c r="AA43" i="7"/>
  <c r="AA44" i="7"/>
  <c r="AA41" i="7"/>
  <c r="Z45" i="7"/>
  <c r="Y45" i="7"/>
  <c r="AC32" i="7"/>
  <c r="AD32" i="7"/>
  <c r="AE32" i="7"/>
  <c r="AF32" i="7"/>
  <c r="AG32" i="7"/>
  <c r="AB32" i="7"/>
  <c r="U11" i="7"/>
  <c r="O29" i="7"/>
  <c r="N29" i="7"/>
  <c r="N24" i="7"/>
  <c r="S7" i="7"/>
  <c r="S11" i="7"/>
  <c r="N7" i="7"/>
  <c r="S16" i="7"/>
  <c r="A30" i="7"/>
  <c r="A31" i="7"/>
  <c r="A32" i="7"/>
  <c r="A33" i="7"/>
  <c r="A34" i="7"/>
  <c r="A35" i="7"/>
  <c r="A36" i="7"/>
  <c r="A37" i="7"/>
  <c r="A38" i="7"/>
  <c r="A39" i="7"/>
  <c r="A40" i="7"/>
  <c r="A8" i="7"/>
  <c r="A9" i="7"/>
  <c r="A10" i="7"/>
  <c r="A11" i="7"/>
  <c r="A12" i="7"/>
  <c r="A13" i="7"/>
  <c r="A14" i="7"/>
  <c r="A15" i="7"/>
  <c r="A16" i="7"/>
  <c r="A17" i="7"/>
  <c r="A18" i="7"/>
  <c r="W26" i="7"/>
  <c r="AG28" i="7"/>
  <c r="AG26" i="7"/>
  <c r="AG25" i="7"/>
  <c r="AF26" i="7"/>
  <c r="AF28" i="7"/>
  <c r="AF30" i="7"/>
  <c r="AE26" i="7"/>
  <c r="AE28" i="7"/>
  <c r="AE30" i="7"/>
  <c r="AD26" i="7"/>
  <c r="AD28" i="7"/>
  <c r="AD30" i="7"/>
  <c r="AC26" i="7"/>
  <c r="AC28" i="7"/>
  <c r="AC30" i="7"/>
  <c r="AB26" i="7"/>
  <c r="AB28" i="7"/>
  <c r="AB30" i="7"/>
  <c r="AA26" i="7"/>
  <c r="AA28" i="7"/>
  <c r="AA30" i="7"/>
  <c r="Z26" i="7"/>
  <c r="Z28" i="7"/>
  <c r="Z30" i="7"/>
  <c r="Y26" i="7"/>
  <c r="Y28" i="7"/>
  <c r="Y30" i="7"/>
  <c r="X26" i="7"/>
  <c r="X28" i="7"/>
  <c r="X30" i="7"/>
  <c r="W28" i="7"/>
  <c r="W30" i="7"/>
  <c r="P30" i="7"/>
  <c r="P31" i="7"/>
  <c r="P32" i="7"/>
  <c r="P33" i="7"/>
  <c r="P34" i="7"/>
  <c r="P35" i="7"/>
  <c r="P36" i="7"/>
  <c r="P37" i="7"/>
  <c r="P38" i="7"/>
  <c r="P39" i="7"/>
  <c r="P40" i="7"/>
  <c r="B40" i="7"/>
  <c r="C40" i="7"/>
  <c r="D40" i="7"/>
  <c r="E40" i="7"/>
  <c r="F40" i="7"/>
  <c r="G40" i="7"/>
  <c r="H40" i="7"/>
  <c r="I40" i="7"/>
  <c r="J40" i="7"/>
  <c r="K40" i="7"/>
  <c r="L40" i="7"/>
  <c r="N40" i="7"/>
  <c r="N18" i="7"/>
  <c r="O40" i="7"/>
  <c r="B39" i="7"/>
  <c r="C39" i="7"/>
  <c r="D39" i="7"/>
  <c r="E39" i="7"/>
  <c r="F39" i="7"/>
  <c r="G39" i="7"/>
  <c r="H39" i="7"/>
  <c r="I39" i="7"/>
  <c r="J39" i="7"/>
  <c r="K39" i="7"/>
  <c r="L39" i="7"/>
  <c r="N39" i="7"/>
  <c r="N17" i="7"/>
  <c r="O39" i="7"/>
  <c r="B38" i="7"/>
  <c r="C38" i="7"/>
  <c r="D38" i="7"/>
  <c r="E38" i="7"/>
  <c r="F38" i="7"/>
  <c r="G38" i="7"/>
  <c r="H38" i="7"/>
  <c r="I38" i="7"/>
  <c r="J38" i="7"/>
  <c r="K38" i="7"/>
  <c r="L38" i="7"/>
  <c r="N38" i="7"/>
  <c r="N16" i="7"/>
  <c r="O38" i="7"/>
  <c r="B37" i="7"/>
  <c r="C37" i="7"/>
  <c r="D37" i="7"/>
  <c r="E37" i="7"/>
  <c r="F37" i="7"/>
  <c r="G37" i="7"/>
  <c r="H37" i="7"/>
  <c r="I37" i="7"/>
  <c r="J37" i="7"/>
  <c r="K37" i="7"/>
  <c r="L37" i="7"/>
  <c r="N37" i="7"/>
  <c r="N15" i="7"/>
  <c r="O37" i="7"/>
  <c r="B36" i="7"/>
  <c r="C36" i="7"/>
  <c r="D36" i="7"/>
  <c r="E36" i="7"/>
  <c r="F36" i="7"/>
  <c r="G36" i="7"/>
  <c r="H36" i="7"/>
  <c r="I36" i="7"/>
  <c r="J36" i="7"/>
  <c r="K36" i="7"/>
  <c r="L36" i="7"/>
  <c r="N36" i="7"/>
  <c r="N14" i="7"/>
  <c r="O36" i="7"/>
  <c r="B35" i="7"/>
  <c r="C35" i="7"/>
  <c r="D35" i="7"/>
  <c r="E35" i="7"/>
  <c r="F35" i="7"/>
  <c r="G35" i="7"/>
  <c r="H35" i="7"/>
  <c r="I35" i="7"/>
  <c r="J35" i="7"/>
  <c r="K35" i="7"/>
  <c r="L35" i="7"/>
  <c r="N35" i="7"/>
  <c r="N13" i="7"/>
  <c r="O35" i="7"/>
  <c r="B34" i="7"/>
  <c r="C34" i="7"/>
  <c r="D34" i="7"/>
  <c r="E34" i="7"/>
  <c r="F34" i="7"/>
  <c r="G34" i="7"/>
  <c r="H34" i="7"/>
  <c r="I34" i="7"/>
  <c r="J34" i="7"/>
  <c r="K34" i="7"/>
  <c r="L34" i="7"/>
  <c r="N34" i="7"/>
  <c r="N12" i="7"/>
  <c r="O34" i="7"/>
  <c r="B33" i="7"/>
  <c r="C33" i="7"/>
  <c r="D33" i="7"/>
  <c r="E33" i="7"/>
  <c r="F33" i="7"/>
  <c r="G33" i="7"/>
  <c r="H33" i="7"/>
  <c r="I33" i="7"/>
  <c r="J33" i="7"/>
  <c r="K33" i="7"/>
  <c r="L33" i="7"/>
  <c r="N33" i="7"/>
  <c r="N11" i="7"/>
  <c r="O33" i="7"/>
  <c r="B32" i="7"/>
  <c r="C32" i="7"/>
  <c r="D32" i="7"/>
  <c r="E32" i="7"/>
  <c r="F32" i="7"/>
  <c r="G32" i="7"/>
  <c r="H32" i="7"/>
  <c r="I32" i="7"/>
  <c r="J32" i="7"/>
  <c r="K32" i="7"/>
  <c r="L32" i="7"/>
  <c r="N32" i="7"/>
  <c r="N10" i="7"/>
  <c r="O32" i="7"/>
  <c r="B31" i="7"/>
  <c r="C31" i="7"/>
  <c r="D31" i="7"/>
  <c r="E31" i="7"/>
  <c r="F31" i="7"/>
  <c r="G31" i="7"/>
  <c r="H31" i="7"/>
  <c r="I31" i="7"/>
  <c r="J31" i="7"/>
  <c r="K31" i="7"/>
  <c r="L31" i="7"/>
  <c r="N31" i="7"/>
  <c r="N9" i="7"/>
  <c r="O31" i="7"/>
  <c r="B30" i="7"/>
  <c r="C30" i="7"/>
  <c r="D30" i="7"/>
  <c r="E30" i="7"/>
  <c r="F30" i="7"/>
  <c r="G30" i="7"/>
  <c r="H30" i="7"/>
  <c r="I30" i="7"/>
  <c r="J30" i="7"/>
  <c r="K30" i="7"/>
  <c r="L30" i="7"/>
  <c r="N30" i="7"/>
  <c r="N8" i="7"/>
  <c r="O30" i="7"/>
  <c r="B29" i="7"/>
  <c r="C29" i="7"/>
  <c r="D29" i="7"/>
  <c r="E29" i="7"/>
  <c r="F29" i="7"/>
  <c r="G29" i="7"/>
  <c r="H29" i="7"/>
  <c r="I29" i="7"/>
  <c r="J29" i="7"/>
  <c r="K29" i="7"/>
  <c r="L29" i="7"/>
  <c r="B28" i="7"/>
  <c r="C28" i="7"/>
  <c r="D28" i="7"/>
  <c r="E28" i="7"/>
  <c r="F28" i="7"/>
  <c r="G28" i="7"/>
  <c r="H28" i="7"/>
  <c r="I28" i="7"/>
  <c r="J28" i="7"/>
  <c r="K28" i="7"/>
  <c r="L28" i="7"/>
  <c r="N28" i="7"/>
  <c r="N6" i="7"/>
  <c r="O28" i="7"/>
  <c r="B27" i="7"/>
  <c r="C27" i="7"/>
  <c r="D27" i="7"/>
  <c r="E27" i="7"/>
  <c r="F27" i="7"/>
  <c r="G27" i="7"/>
  <c r="H27" i="7"/>
  <c r="I27" i="7"/>
  <c r="J27" i="7"/>
  <c r="K27" i="7"/>
  <c r="L27" i="7"/>
  <c r="N27" i="7"/>
  <c r="N5" i="7"/>
  <c r="O27" i="7"/>
  <c r="B26" i="7"/>
  <c r="C26" i="7"/>
  <c r="D26" i="7"/>
  <c r="E26" i="7"/>
  <c r="F26" i="7"/>
  <c r="G26" i="7"/>
  <c r="H26" i="7"/>
  <c r="I26" i="7"/>
  <c r="J26" i="7"/>
  <c r="K26" i="7"/>
  <c r="L26" i="7"/>
  <c r="N26" i="7"/>
  <c r="N4" i="7"/>
  <c r="O26" i="7"/>
  <c r="B25" i="7"/>
  <c r="C25" i="7"/>
  <c r="D25" i="7"/>
  <c r="E25" i="7"/>
  <c r="F25" i="7"/>
  <c r="G25" i="7"/>
  <c r="H25" i="7"/>
  <c r="I25" i="7"/>
  <c r="J25" i="7"/>
  <c r="K25" i="7"/>
  <c r="L25" i="7"/>
  <c r="N25" i="7"/>
  <c r="N3" i="7"/>
  <c r="O25" i="7"/>
  <c r="B24" i="7"/>
  <c r="C24" i="7"/>
  <c r="D24" i="7"/>
  <c r="E24" i="7"/>
  <c r="F24" i="7"/>
  <c r="G24" i="7"/>
  <c r="H24" i="7"/>
  <c r="I24" i="7"/>
  <c r="J24" i="7"/>
  <c r="K24" i="7"/>
  <c r="L24" i="7"/>
  <c r="N2" i="7"/>
  <c r="O24" i="7"/>
  <c r="I20" i="7"/>
  <c r="G20" i="7"/>
  <c r="D20" i="7"/>
  <c r="B20" i="7"/>
  <c r="S18" i="7"/>
  <c r="S17" i="7"/>
  <c r="S15" i="7"/>
  <c r="S14" i="7"/>
  <c r="U18" i="7"/>
  <c r="R8" i="7"/>
  <c r="R9" i="7"/>
  <c r="R10" i="7"/>
  <c r="R11" i="7"/>
  <c r="R12" i="7"/>
  <c r="R13" i="7"/>
  <c r="R14" i="7"/>
  <c r="R15" i="7"/>
  <c r="R16" i="7"/>
  <c r="R17" i="7"/>
  <c r="R18" i="7"/>
  <c r="S13" i="7"/>
  <c r="U17" i="7"/>
  <c r="S12" i="7"/>
  <c r="U16" i="7"/>
  <c r="Q16" i="7"/>
  <c r="U15" i="7"/>
  <c r="Q15" i="7"/>
  <c r="S10" i="7"/>
  <c r="U14" i="7"/>
  <c r="Q14" i="7"/>
  <c r="S9" i="7"/>
  <c r="U13" i="7"/>
  <c r="Q13" i="7"/>
  <c r="S8" i="7"/>
  <c r="U12" i="7"/>
  <c r="Q12" i="7"/>
  <c r="Q11" i="7"/>
  <c r="B7" i="6"/>
  <c r="B31" i="6"/>
  <c r="N64" i="1"/>
  <c r="N65" i="1"/>
  <c r="W70" i="1"/>
  <c r="N78" i="1"/>
  <c r="S78" i="1"/>
  <c r="P78" i="1"/>
  <c r="Q78" i="1"/>
  <c r="R78" i="1"/>
  <c r="O78" i="1"/>
  <c r="S67" i="1"/>
  <c r="Z47" i="1"/>
  <c r="Y47" i="1"/>
  <c r="X47" i="1"/>
  <c r="W47" i="1"/>
  <c r="V47" i="1"/>
  <c r="U47" i="1"/>
  <c r="T47" i="1"/>
  <c r="S47" i="1"/>
  <c r="R47" i="1"/>
  <c r="Q47" i="1"/>
  <c r="P47" i="1"/>
  <c r="O47" i="1"/>
  <c r="P31" i="1"/>
  <c r="Q31" i="1"/>
  <c r="R31" i="1"/>
  <c r="S31" i="1"/>
  <c r="T31" i="1"/>
  <c r="U31" i="1"/>
  <c r="V31" i="1"/>
  <c r="W31" i="1"/>
  <c r="X31" i="1"/>
  <c r="Y31" i="1"/>
  <c r="Z31" i="1"/>
  <c r="O31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Z46" i="1"/>
  <c r="Z45" i="1"/>
  <c r="Y45" i="1"/>
  <c r="Z44" i="1"/>
  <c r="Y44" i="1"/>
  <c r="X44" i="1"/>
  <c r="Z43" i="1"/>
  <c r="Y43" i="1"/>
  <c r="X43" i="1"/>
  <c r="W43" i="1"/>
  <c r="Z42" i="1"/>
  <c r="Y42" i="1"/>
  <c r="X42" i="1"/>
  <c r="W42" i="1"/>
  <c r="V42" i="1"/>
  <c r="Z41" i="1"/>
  <c r="Y41" i="1"/>
  <c r="X41" i="1"/>
  <c r="W41" i="1"/>
  <c r="V41" i="1"/>
  <c r="U41" i="1"/>
  <c r="Y40" i="1"/>
  <c r="X40" i="1"/>
  <c r="W40" i="1"/>
  <c r="V40" i="1"/>
  <c r="U40" i="1"/>
  <c r="T40" i="1"/>
  <c r="U39" i="1"/>
  <c r="V39" i="1"/>
  <c r="W39" i="1"/>
  <c r="X39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18" i="1"/>
  <c r="Z30" i="1"/>
  <c r="Z29" i="1"/>
  <c r="Y29" i="1"/>
  <c r="Z28" i="1"/>
  <c r="Y28" i="1"/>
  <c r="X28" i="1"/>
  <c r="Z27" i="1"/>
  <c r="Y27" i="1"/>
  <c r="X27" i="1"/>
  <c r="W27" i="1"/>
  <c r="Z26" i="1"/>
  <c r="Y26" i="1"/>
  <c r="X26" i="1"/>
  <c r="W26" i="1"/>
  <c r="V26" i="1"/>
  <c r="Z25" i="1"/>
  <c r="Y25" i="1"/>
  <c r="X25" i="1"/>
  <c r="W25" i="1"/>
  <c r="V25" i="1"/>
  <c r="U25" i="1"/>
  <c r="U24" i="1"/>
  <c r="V24" i="1"/>
  <c r="W24" i="1"/>
  <c r="X24" i="1"/>
  <c r="Y24" i="1"/>
  <c r="U23" i="1"/>
  <c r="V23" i="1"/>
  <c r="W23" i="1"/>
  <c r="X23" i="1"/>
  <c r="P17" i="1"/>
  <c r="Q17" i="1"/>
  <c r="R17" i="1"/>
  <c r="S17" i="1"/>
  <c r="T17" i="1"/>
  <c r="U17" i="1"/>
  <c r="V17" i="1"/>
  <c r="W17" i="1"/>
  <c r="X17" i="1"/>
  <c r="Y17" i="1"/>
  <c r="Z17" i="1"/>
  <c r="O17" i="1"/>
  <c r="S39" i="1"/>
  <c r="T39" i="1"/>
  <c r="S23" i="1"/>
  <c r="T24" i="1"/>
  <c r="T23" i="1"/>
  <c r="G49" i="1"/>
  <c r="G39" i="1"/>
  <c r="H50" i="1"/>
  <c r="H40" i="1"/>
  <c r="H49" i="1"/>
  <c r="H39" i="1"/>
  <c r="G38" i="1"/>
  <c r="H38" i="1"/>
  <c r="F38" i="1"/>
  <c r="F37" i="1"/>
  <c r="G37" i="1"/>
  <c r="H37" i="1"/>
  <c r="E37" i="1"/>
  <c r="H35" i="1"/>
  <c r="E36" i="1"/>
  <c r="F36" i="1"/>
  <c r="G36" i="1"/>
  <c r="H36" i="1"/>
  <c r="D36" i="1"/>
  <c r="D35" i="1"/>
  <c r="E35" i="1"/>
  <c r="F35" i="1"/>
  <c r="G35" i="1"/>
  <c r="C35" i="1"/>
  <c r="B34" i="1"/>
  <c r="G23" i="1"/>
  <c r="H24" i="1"/>
  <c r="H14" i="1"/>
  <c r="H23" i="1"/>
  <c r="H13" i="1"/>
  <c r="G13" i="1"/>
  <c r="H12" i="1"/>
  <c r="H11" i="1"/>
  <c r="H10" i="1"/>
  <c r="G12" i="1"/>
  <c r="F12" i="1"/>
  <c r="F11" i="1"/>
  <c r="G11" i="1"/>
  <c r="E11" i="1"/>
  <c r="E10" i="1"/>
  <c r="F10" i="1"/>
  <c r="G10" i="1"/>
  <c r="D10" i="1"/>
  <c r="D9" i="1"/>
  <c r="E9" i="1"/>
  <c r="F9" i="1"/>
  <c r="G9" i="1"/>
  <c r="C9" i="1"/>
  <c r="C50" i="2"/>
  <c r="D50" i="2"/>
  <c r="E50" i="2"/>
  <c r="F50" i="2"/>
  <c r="G50" i="2"/>
  <c r="B50" i="2"/>
  <c r="E45" i="2"/>
  <c r="E42" i="2"/>
  <c r="E43" i="2"/>
  <c r="E44" i="2"/>
  <c r="E47" i="2"/>
  <c r="E52" i="2"/>
  <c r="D44" i="2"/>
  <c r="D42" i="2"/>
  <c r="D43" i="2"/>
  <c r="D47" i="2"/>
  <c r="D52" i="2"/>
  <c r="C43" i="2"/>
  <c r="C42" i="2"/>
  <c r="C47" i="2"/>
  <c r="C52" i="2"/>
  <c r="B42" i="2"/>
  <c r="H50" i="2"/>
  <c r="B47" i="2"/>
  <c r="H16" i="2"/>
  <c r="H34" i="2"/>
  <c r="B68" i="1"/>
  <c r="H64" i="1"/>
  <c r="C68" i="1"/>
  <c r="H63" i="1"/>
  <c r="G63" i="1"/>
  <c r="G62" i="1"/>
  <c r="D68" i="1"/>
  <c r="H62" i="1"/>
  <c r="F62" i="1"/>
  <c r="F61" i="1"/>
  <c r="G61" i="1"/>
  <c r="E68" i="1"/>
  <c r="H61" i="1"/>
  <c r="E61" i="1"/>
  <c r="E60" i="1"/>
  <c r="F60" i="1"/>
  <c r="G60" i="1"/>
  <c r="F68" i="1"/>
  <c r="H60" i="1"/>
  <c r="D60" i="1"/>
  <c r="D59" i="1"/>
  <c r="E59" i="1"/>
  <c r="F59" i="1"/>
  <c r="G59" i="1"/>
  <c r="G68" i="1"/>
  <c r="H59" i="1"/>
  <c r="C59" i="1"/>
  <c r="C58" i="1"/>
  <c r="D58" i="1"/>
  <c r="E58" i="1"/>
  <c r="F58" i="1"/>
  <c r="G58" i="1"/>
  <c r="B58" i="1"/>
  <c r="H65" i="1"/>
  <c r="H70" i="1"/>
  <c r="G65" i="1"/>
  <c r="G70" i="1"/>
  <c r="F65" i="1"/>
  <c r="F70" i="1"/>
  <c r="E65" i="1"/>
  <c r="E70" i="1"/>
  <c r="D65" i="1"/>
  <c r="D70" i="1"/>
  <c r="H68" i="1"/>
  <c r="I44" i="1"/>
  <c r="I18" i="1"/>
  <c r="D27" i="2"/>
  <c r="E27" i="2"/>
  <c r="C27" i="2"/>
  <c r="E28" i="2"/>
  <c r="D28" i="2"/>
  <c r="E29" i="2"/>
  <c r="C26" i="2"/>
  <c r="D26" i="2"/>
  <c r="E26" i="2"/>
  <c r="B26" i="2"/>
  <c r="E31" i="2"/>
  <c r="E23" i="2"/>
  <c r="E24" i="2"/>
  <c r="E36" i="2"/>
  <c r="D31" i="2"/>
  <c r="D23" i="2"/>
  <c r="D24" i="2"/>
  <c r="D36" i="2"/>
  <c r="C31" i="2"/>
  <c r="C23" i="2"/>
  <c r="C24" i="2"/>
  <c r="C36" i="2"/>
  <c r="B31" i="2"/>
  <c r="B23" i="2"/>
  <c r="E11" i="2"/>
  <c r="E10" i="2"/>
  <c r="E9" i="2"/>
  <c r="E8" i="2"/>
  <c r="E13" i="2"/>
  <c r="E6" i="2"/>
  <c r="E18" i="2"/>
  <c r="C9" i="2"/>
  <c r="C8" i="2"/>
  <c r="C13" i="2"/>
  <c r="C6" i="2"/>
  <c r="C18" i="2"/>
  <c r="D10" i="2"/>
  <c r="D9" i="2"/>
  <c r="D8" i="2"/>
  <c r="D13" i="2"/>
  <c r="D6" i="2"/>
  <c r="D18" i="2"/>
  <c r="B8" i="2"/>
  <c r="B13" i="2"/>
  <c r="B24" i="2"/>
  <c r="B6" i="2"/>
  <c r="H41" i="1"/>
  <c r="H31" i="1"/>
  <c r="H32" i="1"/>
  <c r="H52" i="1"/>
  <c r="G34" i="1"/>
  <c r="G41" i="1"/>
  <c r="G31" i="1"/>
  <c r="G32" i="1"/>
  <c r="G52" i="1"/>
  <c r="F34" i="1"/>
  <c r="F41" i="1"/>
  <c r="F31" i="1"/>
  <c r="F32" i="1"/>
  <c r="F52" i="1"/>
  <c r="E34" i="1"/>
  <c r="E41" i="1"/>
  <c r="E31" i="1"/>
  <c r="E32" i="1"/>
  <c r="E52" i="1"/>
  <c r="D34" i="1"/>
  <c r="D41" i="1"/>
  <c r="D31" i="1"/>
  <c r="D32" i="1"/>
  <c r="D52" i="1"/>
  <c r="D8" i="1"/>
  <c r="D15" i="1"/>
  <c r="D6" i="1"/>
  <c r="D26" i="1"/>
  <c r="C34" i="1"/>
  <c r="E8" i="1"/>
  <c r="E15" i="1"/>
  <c r="E6" i="1"/>
  <c r="E26" i="1"/>
  <c r="F8" i="1"/>
  <c r="F15" i="1"/>
  <c r="F6" i="1"/>
  <c r="F26" i="1"/>
  <c r="G15" i="1"/>
  <c r="G6" i="1"/>
  <c r="G26" i="1"/>
  <c r="H15" i="1"/>
  <c r="H6" i="1"/>
  <c r="H26" i="1"/>
  <c r="B8" i="1"/>
  <c r="C8" i="1"/>
  <c r="C31" i="6"/>
</calcChain>
</file>

<file path=xl/sharedStrings.xml><?xml version="1.0" encoding="utf-8"?>
<sst xmlns="http://schemas.openxmlformats.org/spreadsheetml/2006/main" count="607" uniqueCount="328">
  <si>
    <t>Physical Games</t>
  </si>
  <si>
    <t>Total</t>
  </si>
  <si>
    <t>Sony Game Data</t>
  </si>
  <si>
    <t>Year</t>
  </si>
  <si>
    <t>Hardware Sales</t>
  </si>
  <si>
    <t>Total Software</t>
  </si>
  <si>
    <t>Physical Games/Year</t>
  </si>
  <si>
    <t>Difference</t>
  </si>
  <si>
    <t>Digital</t>
  </si>
  <si>
    <t>Digital Games</t>
  </si>
  <si>
    <t>Digital Games/Year</t>
  </si>
  <si>
    <t>Physical %</t>
  </si>
  <si>
    <t>Digital %</t>
  </si>
  <si>
    <t>Nintendo Game Data</t>
  </si>
  <si>
    <t>Total Games</t>
  </si>
  <si>
    <t>Total Games/Year</t>
  </si>
  <si>
    <t>5 (est.)</t>
  </si>
  <si>
    <t>6 (est.)</t>
  </si>
  <si>
    <t>Est Total</t>
  </si>
  <si>
    <t>2013 Physical Games</t>
  </si>
  <si>
    <t>2014 Physical Games</t>
  </si>
  <si>
    <t>2015 Physical Games</t>
  </si>
  <si>
    <t>2016 Physical Games</t>
  </si>
  <si>
    <t>2017 Physical Games</t>
  </si>
  <si>
    <t>2018 Physical Games</t>
  </si>
  <si>
    <t>2019 Physical Games</t>
  </si>
  <si>
    <t>2013 Digital Games</t>
  </si>
  <si>
    <t>2014 Digital Games</t>
  </si>
  <si>
    <t>2015 Digital Games</t>
  </si>
  <si>
    <t>2016 Digital Games</t>
  </si>
  <si>
    <t>2017 Digital Games</t>
  </si>
  <si>
    <t>2018 Digital Games</t>
  </si>
  <si>
    <t>2019 Digital Games</t>
  </si>
  <si>
    <t>Total Per Year</t>
  </si>
  <si>
    <t>ATVI</t>
  </si>
  <si>
    <t>Total Rev</t>
  </si>
  <si>
    <t>Retail</t>
  </si>
  <si>
    <t>Other</t>
  </si>
  <si>
    <t>Console</t>
  </si>
  <si>
    <t>PC</t>
  </si>
  <si>
    <t>Mobile</t>
  </si>
  <si>
    <t>Net Bookings</t>
  </si>
  <si>
    <t>In-Game Bookings</t>
  </si>
  <si>
    <t>Product Sales</t>
  </si>
  <si>
    <t>this is physical products and digital full-game downloads</t>
  </si>
  <si>
    <t>Blizzard</t>
  </si>
  <si>
    <t>King</t>
  </si>
  <si>
    <t>Interseg Deduct</t>
  </si>
  <si>
    <t>Sony Data</t>
  </si>
  <si>
    <t>Sony Playstation 4</t>
  </si>
  <si>
    <t>Nintendo Switch</t>
  </si>
  <si>
    <t>XBox One</t>
  </si>
  <si>
    <t>Nintendo 3DS</t>
  </si>
  <si>
    <t>Sony Playstation Vita</t>
  </si>
  <si>
    <t>Sony Playstation 3</t>
  </si>
  <si>
    <t>Nintendo Wii U</t>
  </si>
  <si>
    <t>Xbox360</t>
  </si>
  <si>
    <t>Sony PSP</t>
  </si>
  <si>
    <t>Nintendo Wii</t>
  </si>
  <si>
    <t>Nintendo DS</t>
  </si>
  <si>
    <t>Hardware</t>
  </si>
  <si>
    <t>Software</t>
  </si>
  <si>
    <t>Physical</t>
  </si>
  <si>
    <t>Total Consoles</t>
  </si>
  <si>
    <t>PS+ Subscribers</t>
  </si>
  <si>
    <t>New Subs/Year</t>
  </si>
  <si>
    <t>Subs/Console</t>
  </si>
  <si>
    <t>Digital Revenue</t>
  </si>
  <si>
    <t>US $ Exhange</t>
  </si>
  <si>
    <t>Digital Game Rev</t>
  </si>
  <si>
    <t>DLC Revenue</t>
  </si>
  <si>
    <t>Peripheral Revenue</t>
  </si>
  <si>
    <t>US $ Exchange</t>
  </si>
  <si>
    <t>Network Revenue</t>
  </si>
  <si>
    <t>Avg Price</t>
  </si>
  <si>
    <t>PS+ Revenue</t>
  </si>
  <si>
    <t>Other Network Rev</t>
  </si>
  <si>
    <t>Full Time Employees</t>
  </si>
  <si>
    <t>Part Time Employees</t>
  </si>
  <si>
    <t>Physical Games/Console</t>
  </si>
  <si>
    <t>FT Employees/Store</t>
  </si>
  <si>
    <t>Digital Games/Console</t>
  </si>
  <si>
    <t>PT Employees/Store</t>
  </si>
  <si>
    <t>Total Hrs Worked/Store</t>
  </si>
  <si>
    <t>Stores</t>
  </si>
  <si>
    <t>Sales/Store</t>
  </si>
  <si>
    <t>Total Stores</t>
  </si>
  <si>
    <t>PS+ New Subscribers/Year</t>
  </si>
  <si>
    <t>Sony Consoles</t>
  </si>
  <si>
    <t>DLC Spend/Year</t>
  </si>
  <si>
    <t>Xbox Consoles</t>
  </si>
  <si>
    <t>Peripheral Spend/Year</t>
  </si>
  <si>
    <t>Nintendo Consoles</t>
  </si>
  <si>
    <t>Network Spend/Year</t>
  </si>
  <si>
    <t>Sony Games/Console</t>
  </si>
  <si>
    <t>Xbox Games/Console</t>
  </si>
  <si>
    <t>Physical Game Rev/Console</t>
  </si>
  <si>
    <t>Nintendo Games/Console</t>
  </si>
  <si>
    <t>Digital Game Rev/Console</t>
  </si>
  <si>
    <t>PS+ Subscriber Rev/Cons</t>
  </si>
  <si>
    <t>Assumed Avg Price</t>
  </si>
  <si>
    <t>Console Market Share</t>
  </si>
  <si>
    <t>DLC Spend/Console</t>
  </si>
  <si>
    <t>Units Sold at GME</t>
  </si>
  <si>
    <t>Total Console Sales</t>
  </si>
  <si>
    <t>Peripheral Spend/Cons</t>
  </si>
  <si>
    <t>Worldwide Units</t>
  </si>
  <si>
    <t>Average Console Price</t>
  </si>
  <si>
    <t>Network Spend/Console</t>
  </si>
  <si>
    <t>GME Mkt Share</t>
  </si>
  <si>
    <t>Console Revenue</t>
  </si>
  <si>
    <t>Console Gross Margin</t>
  </si>
  <si>
    <t>Console Gross Profit</t>
  </si>
  <si>
    <t>Physical Spend</t>
  </si>
  <si>
    <t>Total Physical Game Sales</t>
  </si>
  <si>
    <t>Digital Spend</t>
  </si>
  <si>
    <t>Average Game Price</t>
  </si>
  <si>
    <t>% Physical Spend</t>
  </si>
  <si>
    <t>% Digital Spend</t>
  </si>
  <si>
    <t>Pre-Owned Revenue</t>
  </si>
  <si>
    <t>Pre-Owned Gross Margin</t>
  </si>
  <si>
    <t>D&amp;A</t>
  </si>
  <si>
    <t>Pre-Owned Gross Profit</t>
  </si>
  <si>
    <t>Total SG&amp;A</t>
  </si>
  <si>
    <t>Accessories Gross Margin</t>
  </si>
  <si>
    <t>Accessories Gross Profit</t>
  </si>
  <si>
    <t>Collectibles</t>
  </si>
  <si>
    <t>Collectibles Gross Margin</t>
  </si>
  <si>
    <t>Exit Multiple</t>
  </si>
  <si>
    <t>GME Royalty Rate</t>
  </si>
  <si>
    <t>Rent Exp/Store</t>
  </si>
  <si>
    <t>EBIT</t>
  </si>
  <si>
    <t>Consoles</t>
  </si>
  <si>
    <t>US</t>
  </si>
  <si>
    <t>Canada</t>
  </si>
  <si>
    <t>Europe</t>
  </si>
  <si>
    <t>Australia</t>
  </si>
  <si>
    <t>Total Rent Exp</t>
  </si>
  <si>
    <t>Variable Lease/St</t>
  </si>
  <si>
    <t>Varaible Lease Exp</t>
  </si>
  <si>
    <t>D&amp;A/Store</t>
  </si>
  <si>
    <t>Corporate Exp</t>
  </si>
  <si>
    <t>&lt;&lt;Estimating 40% of Corporate is Europe/Australia</t>
  </si>
  <si>
    <t>Employee Exp</t>
  </si>
  <si>
    <t>Advertising Exp</t>
  </si>
  <si>
    <t>Legacy Business</t>
  </si>
  <si>
    <t>US/Canada Stores</t>
  </si>
  <si>
    <t>(worldwide)</t>
  </si>
  <si>
    <t>GME Stores</t>
  </si>
  <si>
    <t>Consoles/Store</t>
  </si>
  <si>
    <t>Rev</t>
  </si>
  <si>
    <t>US/Canada</t>
  </si>
  <si>
    <t>Aus/Eur</t>
  </si>
  <si>
    <t>Adjusted US/Canada Consoles/Store</t>
  </si>
  <si>
    <t>% Stores</t>
  </si>
  <si>
    <t>US/Canada Adjustment</t>
  </si>
  <si>
    <t>Adjusted US/Canada Hardware Sales</t>
  </si>
  <si>
    <t>Adjusted Market Share for NA/Can compared to World</t>
  </si>
  <si>
    <t>Physical Game Market Share (80% of console share)</t>
  </si>
  <si>
    <t>Legacy Games (previous consoles)</t>
  </si>
  <si>
    <t>(see Console Mkt Sh Tab)</t>
  </si>
  <si>
    <t>Phyiscal Game Revenue</t>
  </si>
  <si>
    <t>Phyiscal Game Gross Margin</t>
  </si>
  <si>
    <t>Phyiscal Game Gross Profit</t>
  </si>
  <si>
    <t>Pre-Owned/Last 2 Years of New Sales</t>
  </si>
  <si>
    <t>Legacy Digital Revenue</t>
  </si>
  <si>
    <t>Legacy Digital Gross Margin</t>
  </si>
  <si>
    <t>Legacy Digital Gross Profit</t>
  </si>
  <si>
    <t>Accessory Spend Based on Console Sales (Legacy Accessory Spend)</t>
  </si>
  <si>
    <t>Accessory Revenue/Store</t>
  </si>
  <si>
    <t>Total Legacy GME Revenue</t>
  </si>
  <si>
    <t>Accessories Revenue</t>
  </si>
  <si>
    <t>Total Legacy GME Gross Profit</t>
  </si>
  <si>
    <t>Gross Margin</t>
  </si>
  <si>
    <t>XBOX Digital Revenue</t>
  </si>
  <si>
    <t>E-Commerce</t>
  </si>
  <si>
    <t>Total Revenue Per Store (millions)</t>
  </si>
  <si>
    <t>Total Store Exp</t>
  </si>
  <si>
    <t>G&amp;A Exp (excl. Store exp)</t>
  </si>
  <si>
    <t>Per Store Expense (incl D&amp;A)</t>
  </si>
  <si>
    <t>Base Revenue</t>
  </si>
  <si>
    <t>Bear Revenue</t>
  </si>
  <si>
    <t>Collectible Rev/Store</t>
  </si>
  <si>
    <t>Estimated '19 &amp; '20 Rev</t>
  </si>
  <si>
    <t>Bear Revenue/Store</t>
  </si>
  <si>
    <t>Base Revenue/Store</t>
  </si>
  <si>
    <t>&lt;&lt;US/Can Market Share, Adjusted down from 9% to account for store closures</t>
  </si>
  <si>
    <t>Adjusted up 40% to account for closed store transfers</t>
  </si>
  <si>
    <t>&lt;&lt;15% constant growth rate; 40% closed store transfers</t>
  </si>
  <si>
    <t>&lt;&lt;20% store transfers, 10% growth declining to share loss</t>
  </si>
  <si>
    <t>&lt;&lt;40% store transfers; growth declines YOY but still positive</t>
  </si>
  <si>
    <t>&lt;&lt;11% adjustment for US/Canada; 40% adjustment for closed store transfers</t>
  </si>
  <si>
    <t>Bear Legacy Revenue</t>
  </si>
  <si>
    <t>Bear Collectibles Revenue</t>
  </si>
  <si>
    <t>Bear Collectibles Gross Profit</t>
  </si>
  <si>
    <t>Base Collectibles Gross Profit</t>
  </si>
  <si>
    <t>Bull Collectibles Gross Profit</t>
  </si>
  <si>
    <t>Bear Gross Margin</t>
  </si>
  <si>
    <t>Bear In-Store Revenue</t>
  </si>
  <si>
    <t>&lt;&lt;Variable doesn't change; manual input</t>
  </si>
  <si>
    <t>E-Commerce Share</t>
  </si>
  <si>
    <t>E-Commerce Revenue</t>
  </si>
  <si>
    <t>Distribution Costs</t>
  </si>
  <si>
    <t>Bear Legacy In-Store Revenue</t>
  </si>
  <si>
    <t>Gross Profit Adjusted for Distribution</t>
  </si>
  <si>
    <t>Adjusted Gross Margin</t>
  </si>
  <si>
    <t>Bear E-Commerce Revenue</t>
  </si>
  <si>
    <t>Base Legacy Revenue</t>
  </si>
  <si>
    <t>Base Collectibles Revenue</t>
  </si>
  <si>
    <t>Base In-Store Revenue</t>
  </si>
  <si>
    <t>Base Gross Margin</t>
  </si>
  <si>
    <t>Incremental E-Commerce Revenue</t>
  </si>
  <si>
    <t>Additional Distribution Cost/Revenue</t>
  </si>
  <si>
    <t>Bear Case E-Commerce % of Total Revenue</t>
  </si>
  <si>
    <t>Base Legacy In-Store Revenue</t>
  </si>
  <si>
    <t>Base E-Commerce Revenue</t>
  </si>
  <si>
    <t>&lt;&lt;Additional e-comm of 15% per year</t>
  </si>
  <si>
    <t>Incremental Gross Margin</t>
  </si>
  <si>
    <t>Incremental Gross Profit</t>
  </si>
  <si>
    <t>Base Gross Profit Adjusted for Distribution</t>
  </si>
  <si>
    <t>Base Case E-Commerce % of Total Revenue</t>
  </si>
  <si>
    <t>Bear Legacy Gross Profit</t>
  </si>
  <si>
    <t>Bear Collectible Gross Profit</t>
  </si>
  <si>
    <t>Bear In-Store Gross Profit</t>
  </si>
  <si>
    <t>Base Collectible Gross Profit</t>
  </si>
  <si>
    <t>Base Legacy Gross Profit</t>
  </si>
  <si>
    <t>Base In-Store Gross Profit</t>
  </si>
  <si>
    <t>Bull Legacy Revenue</t>
  </si>
  <si>
    <t>Bull Collectibles Revenue</t>
  </si>
  <si>
    <t>Bull In-Store Revenue</t>
  </si>
  <si>
    <t>Bull Legacy Gross Profit</t>
  </si>
  <si>
    <t>Bull Collectible Gross Profit</t>
  </si>
  <si>
    <t>Bull In-Store Gross Profit</t>
  </si>
  <si>
    <t>Bull Gross Margin</t>
  </si>
  <si>
    <t>Bull Legacy In-Store Revenue</t>
  </si>
  <si>
    <t>Bull E-Commerce Revenue</t>
  </si>
  <si>
    <t>Bull Revenue</t>
  </si>
  <si>
    <t>Bull Gross Profit Adjusted for Distribution</t>
  </si>
  <si>
    <t>Bull Case E-Commerce % of Total Revenue</t>
  </si>
  <si>
    <t>&lt;&lt;Additional e-comm of 25% per year</t>
  </si>
  <si>
    <t>Bear XBOX Digital Rev</t>
  </si>
  <si>
    <t>XBOX Digital Rev/Console/Yr</t>
  </si>
  <si>
    <t>Bear Case GME Share</t>
  </si>
  <si>
    <t>Total XBOX Digital Rev/Year</t>
  </si>
  <si>
    <t>GME Share Digital Rev/Year</t>
  </si>
  <si>
    <t>Base Case XBOX Digital Rev</t>
  </si>
  <si>
    <t>Base Case GME Share</t>
  </si>
  <si>
    <t>Bull Case XBOX &amp; PS5 Digital Rev</t>
  </si>
  <si>
    <t>Bull Case GME Share</t>
  </si>
  <si>
    <t>PS5 Digital Rev/Console/Yr</t>
  </si>
  <si>
    <t>PS5 Consoles</t>
  </si>
  <si>
    <t>Total PS5 Digital Rev/Year</t>
  </si>
  <si>
    <t>Bull Case XBOX &amp; PS5 Digital Rev/Year</t>
  </si>
  <si>
    <t>Bear XBOX Digital Gross Profit</t>
  </si>
  <si>
    <t>Base XBOX Digital Revenue</t>
  </si>
  <si>
    <t>Bear XBOX Digital Revenue</t>
  </si>
  <si>
    <t>Bull XBOX &amp; PS5 Digital Revenue</t>
  </si>
  <si>
    <t>Bull XBOX &amp; PS5 Digital Gross Profit</t>
  </si>
  <si>
    <t>AdTech Platform</t>
  </si>
  <si>
    <t>Bear Case</t>
  </si>
  <si>
    <t>PowerUp Rewards Members</t>
  </si>
  <si>
    <t>&lt;&lt;members who have purchased games within past year</t>
  </si>
  <si>
    <t>Paying Members</t>
  </si>
  <si>
    <t>Revenue/Paying Member</t>
  </si>
  <si>
    <t>Paying Member Revenue</t>
  </si>
  <si>
    <t>PowerUp Gross Margin</t>
  </si>
  <si>
    <t>PowerUp Gross Profit</t>
  </si>
  <si>
    <t>AdTech Revenue/Member</t>
  </si>
  <si>
    <t>&lt;&lt;total digital spend per console; for XBOX only (not including other digital rev)</t>
  </si>
  <si>
    <t>AdTech Revenue</t>
  </si>
  <si>
    <t>(millions)</t>
  </si>
  <si>
    <t>&lt;&lt;total spend per console; adtech CAC 1% of total spend per year</t>
  </si>
  <si>
    <t>AdTech Gross Profit</t>
  </si>
  <si>
    <t>Bear Case PowerUp/AdTech Revenue</t>
  </si>
  <si>
    <t>Bear Case PowerUp/AdTech Gross Profit</t>
  </si>
  <si>
    <t>Base Case</t>
  </si>
  <si>
    <t>Base Case PowerUp/AdTech Revenue</t>
  </si>
  <si>
    <t>Base Case PowerUp/AdTech Gross Profit</t>
  </si>
  <si>
    <t>&lt;&lt;members who have purchased games within past year; 5% CAGR</t>
  </si>
  <si>
    <t>Bull Case</t>
  </si>
  <si>
    <t>Bull Case PowerUp/AdTech Revenue</t>
  </si>
  <si>
    <t>Bull Case PowerUp/AdTech Gross Profit</t>
  </si>
  <si>
    <t>&lt;&lt;members who have purchased games within past year; 10% CAGR</t>
  </si>
  <si>
    <t>Base Case Legacy &amp; e-Comm Revenues</t>
  </si>
  <si>
    <t>Bear Case Legacy &amp; e-Comm Revenues</t>
  </si>
  <si>
    <t>Bear Case PowerUp &amp; AdTech Revenues</t>
  </si>
  <si>
    <t>Total Bear Case Revenues</t>
  </si>
  <si>
    <t>Bear Case Legacy &amp; e-Comm Gross Profit</t>
  </si>
  <si>
    <t>Bear Case PowerUp &amp; AdTech Gross Profit</t>
  </si>
  <si>
    <t>Total Bear Case Gross Profit</t>
  </si>
  <si>
    <t>Bear Case Gross Margin</t>
  </si>
  <si>
    <t>G&amp;A</t>
  </si>
  <si>
    <t>Bear Case EBIT</t>
  </si>
  <si>
    <t>Base Case PowerUp &amp; AdTech Revenues</t>
  </si>
  <si>
    <t>Total Base Case Revenues</t>
  </si>
  <si>
    <t>Base Case Legacy &amp; e-Comm Gross Profit</t>
  </si>
  <si>
    <t>Base Case PowerUp &amp; AdTech Gross Profit</t>
  </si>
  <si>
    <t>Total Base Case Gross Profit</t>
  </si>
  <si>
    <t>Base Case Gross Margin</t>
  </si>
  <si>
    <t>Base Case EBIT</t>
  </si>
  <si>
    <t>Bull Case Legacy &amp; e-Comm Revenues</t>
  </si>
  <si>
    <t>Bull Case PowerUp &amp; AdTech Revenues</t>
  </si>
  <si>
    <t>Total Bull Case Revenues</t>
  </si>
  <si>
    <t>Bull Case Legacy &amp; e-Comm Gross Profit</t>
  </si>
  <si>
    <t>Bull Case PowerUp &amp; AdTech Gross Profit</t>
  </si>
  <si>
    <t>Total Bull Case Gross Profit</t>
  </si>
  <si>
    <t>Bull Case Gross Margin</t>
  </si>
  <si>
    <t>Bull Case EBIT</t>
  </si>
  <si>
    <t>Bear Case Valuation</t>
  </si>
  <si>
    <t>Exit Value</t>
  </si>
  <si>
    <t>NPV 10%</t>
  </si>
  <si>
    <t>Fully Diluted Shares</t>
  </si>
  <si>
    <t>Bear Case Price Per Share</t>
  </si>
  <si>
    <t>Base Case Valuation</t>
  </si>
  <si>
    <t>Bull Case Valuation</t>
  </si>
  <si>
    <t>Bear: 5%</t>
  </si>
  <si>
    <t>Base: 6%</t>
  </si>
  <si>
    <t>Bull: 7%</t>
  </si>
  <si>
    <t>BEAR CASE</t>
  </si>
  <si>
    <t>&lt;&lt;20% increase to BEAR case revenue</t>
  </si>
  <si>
    <t>&lt;&lt;increasing royalty rate from 3% BEAR case</t>
  </si>
  <si>
    <t>&lt;&lt;33% increase to BEAR case revenue</t>
  </si>
  <si>
    <t>increasing royalty rate from 3% BEAR case</t>
  </si>
  <si>
    <t>BASE CASE</t>
  </si>
  <si>
    <t>BULL CASE</t>
  </si>
  <si>
    <t>&lt;&lt;11% adjustment for US/Canada; 40% adjustment for closed store transfers; 10% increase from BEAR case</t>
  </si>
  <si>
    <t>&lt;&lt;11% adjustment for US/Canada; 40% adjustment for closed store transfers; 20% increase from BEAR case</t>
  </si>
  <si>
    <t>Bull Revenue/Store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</si>
</sst>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_(&quot;$&quot;* #,##0_);_(&quot;$&quot;* \(#,##0\);_(&quot;$&quot;* &quot;-&quot;??_);_(@_)"/>
    <numFmt numFmtId="168" formatCode="0.0%"/>
    <numFmt numFmtId="169" formatCode="#,##0.##"/>
    <numFmt numFmtId="170" formatCode="_(&quot;$&quot;* #,##0.0_);_(&quot;$&quot;* \(#,##0.0\);_(&quot;$&quot;* &quot;-&quot;??_);_(@_)"/>
    <numFmt numFmtId="171" formatCode="_(* #,##0.000_);_(* \(#,##0.000\);_(* &quot;-&quot;??_);_(@_)"/>
    <numFmt numFmtId="177" formatCode="_(&quot;$&quot;* #,##0.000_);_(&quot;$&quot;* \(#,##0.000\);_(&quot;$&quot;* &quot;-&quot;??_);_(@_)"/>
    <numFmt numFmtId="180" formatCode="#,##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7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CB3F0"/>
        <bgColor indexed="64"/>
      </patternFill>
    </fill>
    <fill>
      <patternFill patternType="solid">
        <fgColor rgb="FFFF8892"/>
        <bgColor indexed="64"/>
      </patternFill>
    </fill>
    <fill>
      <patternFill patternType="solid">
        <fgColor rgb="FF69FF94"/>
        <bgColor indexed="64"/>
      </patternFill>
    </fill>
    <fill>
      <patternFill patternType="solid">
        <fgColor rgb="FFCAFFF9"/>
        <bgColor indexed="64"/>
      </patternFill>
    </fill>
    <fill>
      <patternFill patternType="solid">
        <fgColor rgb="FFFF99B2"/>
        <bgColor indexed="64"/>
      </patternFill>
    </fill>
    <fill>
      <patternFill patternType="solid">
        <fgColor rgb="FFC6B4FF"/>
        <bgColor indexed="64"/>
      </patternFill>
    </fill>
    <fill>
      <patternFill patternType="solid">
        <fgColor rgb="FFFFF9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164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1" applyNumberFormat="1" applyFont="1"/>
    <xf numFmtId="166" fontId="0" fillId="0" borderId="0" xfId="1" applyNumberFormat="1" applyFont="1" applyFill="1"/>
    <xf numFmtId="9" fontId="0" fillId="0" borderId="0" xfId="3" applyFont="1"/>
    <xf numFmtId="9" fontId="0" fillId="0" borderId="0" xfId="3" applyFont="1" applyFill="1"/>
    <xf numFmtId="43" fontId="0" fillId="0" borderId="0" xfId="1" applyFont="1" applyFill="1"/>
    <xf numFmtId="43" fontId="0" fillId="0" borderId="0" xfId="0" applyNumberFormat="1" applyFill="1"/>
    <xf numFmtId="167" fontId="0" fillId="0" borderId="0" xfId="2" applyNumberFormat="1" applyFont="1" applyFill="1"/>
    <xf numFmtId="166" fontId="0" fillId="0" borderId="0" xfId="0" applyNumberFormat="1" applyFill="1"/>
    <xf numFmtId="166" fontId="0" fillId="4" borderId="1" xfId="0" applyNumberFormat="1" applyFill="1" applyBorder="1"/>
    <xf numFmtId="168" fontId="0" fillId="0" borderId="0" xfId="3" applyNumberFormat="1" applyFont="1" applyFill="1"/>
    <xf numFmtId="164" fontId="0" fillId="2" borderId="1" xfId="0" applyNumberFormat="1" applyFill="1" applyBorder="1"/>
    <xf numFmtId="164" fontId="0" fillId="5" borderId="1" xfId="0" applyNumberFormat="1" applyFill="1" applyBorder="1"/>
    <xf numFmtId="166" fontId="0" fillId="6" borderId="1" xfId="0" applyNumberFormat="1" applyFill="1" applyBorder="1"/>
    <xf numFmtId="43" fontId="0" fillId="0" borderId="0" xfId="1" applyFont="1"/>
    <xf numFmtId="166" fontId="0" fillId="0" borderId="0" xfId="0" applyNumberFormat="1" applyFill="1" applyBorder="1"/>
    <xf numFmtId="9" fontId="0" fillId="7" borderId="1" xfId="3" applyFont="1" applyFill="1" applyBorder="1"/>
    <xf numFmtId="9" fontId="0" fillId="0" borderId="0" xfId="0" applyNumberFormat="1"/>
    <xf numFmtId="9" fontId="0" fillId="0" borderId="0" xfId="0" applyNumberFormat="1" applyFill="1"/>
    <xf numFmtId="2" fontId="0" fillId="8" borderId="1" xfId="0" applyNumberFormat="1" applyFill="1" applyBorder="1"/>
    <xf numFmtId="164" fontId="0" fillId="9" borderId="1" xfId="0" applyNumberFormat="1" applyFill="1" applyBorder="1"/>
    <xf numFmtId="9" fontId="0" fillId="3" borderId="1" xfId="0" applyNumberFormat="1" applyFill="1" applyBorder="1"/>
    <xf numFmtId="9" fontId="0" fillId="3" borderId="2" xfId="0" applyNumberFormat="1" applyFill="1" applyBorder="1"/>
    <xf numFmtId="2" fontId="0" fillId="10" borderId="1" xfId="0" applyNumberFormat="1" applyFill="1" applyBorder="1"/>
    <xf numFmtId="164" fontId="0" fillId="11" borderId="1" xfId="0" applyNumberFormat="1" applyFill="1" applyBorder="1"/>
    <xf numFmtId="166" fontId="0" fillId="12" borderId="1" xfId="1" applyNumberFormat="1" applyFont="1" applyFill="1" applyBorder="1"/>
    <xf numFmtId="166" fontId="0" fillId="13" borderId="1" xfId="0" applyNumberFormat="1" applyFill="1" applyBorder="1"/>
    <xf numFmtId="0" fontId="0" fillId="0" borderId="0" xfId="0" applyFill="1" applyAlignment="1">
      <alignment horizontal="right"/>
    </xf>
    <xf numFmtId="0" fontId="0" fillId="15" borderId="1" xfId="0" applyFill="1" applyBorder="1"/>
    <xf numFmtId="164" fontId="0" fillId="14" borderId="1" xfId="0" applyNumberFormat="1" applyFill="1" applyBorder="1"/>
    <xf numFmtId="0" fontId="0" fillId="16" borderId="0" xfId="0" applyFill="1"/>
    <xf numFmtId="167" fontId="0" fillId="16" borderId="0" xfId="2" applyNumberFormat="1" applyFont="1" applyFill="1"/>
    <xf numFmtId="0" fontId="0" fillId="0" borderId="0" xfId="0" applyNumberFormat="1" applyFont="1" applyFill="1" applyBorder="1" applyAlignment="1" applyProtection="1">
      <alignment horizontal="right" vertical="center"/>
    </xf>
    <xf numFmtId="169" fontId="0" fillId="0" borderId="0" xfId="0" applyNumberFormat="1" applyFont="1" applyFill="1" applyBorder="1" applyAlignment="1" applyProtection="1">
      <alignment horizontal="right" vertical="center"/>
    </xf>
    <xf numFmtId="165" fontId="0" fillId="0" borderId="0" xfId="1" applyNumberFormat="1" applyFont="1"/>
    <xf numFmtId="0" fontId="0" fillId="2" borderId="0" xfId="0" applyFill="1"/>
    <xf numFmtId="2" fontId="0" fillId="0" borderId="0" xfId="0" applyNumberFormat="1"/>
    <xf numFmtId="43" fontId="0" fillId="0" borderId="0" xfId="0" applyNumberFormat="1"/>
    <xf numFmtId="0" fontId="0" fillId="0" borderId="0" xfId="0" applyNumberFormat="1"/>
    <xf numFmtId="165" fontId="0" fillId="0" borderId="0" xfId="0" applyNumberFormat="1"/>
    <xf numFmtId="6" fontId="0" fillId="0" borderId="0" xfId="0" applyNumberFormat="1"/>
    <xf numFmtId="170" fontId="0" fillId="0" borderId="0" xfId="2" applyNumberFormat="1" applyFont="1"/>
    <xf numFmtId="168" fontId="0" fillId="0" borderId="0" xfId="3" applyNumberFormat="1" applyFont="1"/>
    <xf numFmtId="3" fontId="0" fillId="0" borderId="0" xfId="0" applyNumberFormat="1" applyFont="1" applyFill="1" applyBorder="1" applyAlignment="1" applyProtection="1">
      <alignment horizontal="right" vertical="center"/>
    </xf>
    <xf numFmtId="167" fontId="0" fillId="0" borderId="0" xfId="2" applyNumberFormat="1" applyFont="1"/>
    <xf numFmtId="167" fontId="0" fillId="0" borderId="0" xfId="0" applyNumberFormat="1"/>
    <xf numFmtId="169" fontId="0" fillId="0" borderId="0" xfId="0" applyNumberFormat="1"/>
    <xf numFmtId="170" fontId="0" fillId="0" borderId="0" xfId="2" applyNumberFormat="1" applyFont="1" applyFill="1" applyBorder="1" applyAlignment="1" applyProtection="1">
      <alignment horizontal="right" vertical="center"/>
    </xf>
    <xf numFmtId="0" fontId="0" fillId="17" borderId="0" xfId="0" applyFill="1"/>
    <xf numFmtId="171" fontId="0" fillId="0" borderId="0" xfId="1" applyNumberFormat="1" applyFont="1"/>
    <xf numFmtId="168" fontId="0" fillId="0" borderId="0" xfId="0" applyNumberFormat="1"/>
    <xf numFmtId="1" fontId="0" fillId="0" borderId="0" xfId="0" applyNumberFormat="1"/>
    <xf numFmtId="44" fontId="0" fillId="19" borderId="0" xfId="0" applyNumberFormat="1" applyFill="1"/>
    <xf numFmtId="165" fontId="0" fillId="20" borderId="0" xfId="1" applyNumberFormat="1" applyFont="1" applyFill="1"/>
    <xf numFmtId="168" fontId="0" fillId="21" borderId="0" xfId="0" applyNumberFormat="1" applyFill="1"/>
    <xf numFmtId="170" fontId="0" fillId="0" borderId="0" xfId="0" applyNumberFormat="1"/>
    <xf numFmtId="44" fontId="0" fillId="0" borderId="0" xfId="0" applyNumberFormat="1"/>
    <xf numFmtId="8" fontId="0" fillId="0" borderId="0" xfId="0" applyNumberFormat="1"/>
    <xf numFmtId="0" fontId="0" fillId="0" borderId="0" xfId="0" applyFill="1" applyBorder="1"/>
    <xf numFmtId="165" fontId="0" fillId="0" borderId="0" xfId="0" applyNumberFormat="1" applyFill="1"/>
    <xf numFmtId="0" fontId="0" fillId="5" borderId="0" xfId="0" applyFill="1"/>
    <xf numFmtId="44" fontId="0" fillId="0" borderId="0" xfId="2" applyFont="1"/>
    <xf numFmtId="10" fontId="0" fillId="0" borderId="0" xfId="3" applyNumberFormat="1" applyFont="1"/>
    <xf numFmtId="177" fontId="0" fillId="0" borderId="0" xfId="0" applyNumberFormat="1"/>
    <xf numFmtId="4" fontId="0" fillId="0" borderId="0" xfId="0" applyNumberFormat="1"/>
    <xf numFmtId="180" fontId="0" fillId="0" borderId="0" xfId="0" applyNumberFormat="1"/>
    <xf numFmtId="43" fontId="0" fillId="2" borderId="0" xfId="0" applyNumberFormat="1" applyFill="1"/>
    <xf numFmtId="168" fontId="0" fillId="0" borderId="0" xfId="2" applyNumberFormat="1" applyFont="1"/>
    <xf numFmtId="177" fontId="0" fillId="0" borderId="0" xfId="2" applyNumberFormat="1" applyFont="1"/>
    <xf numFmtId="0" fontId="0" fillId="5" borderId="3" xfId="0" applyFill="1" applyBorder="1"/>
    <xf numFmtId="44" fontId="0" fillId="5" borderId="3" xfId="0" applyNumberFormat="1" applyFill="1" applyBorder="1"/>
    <xf numFmtId="10" fontId="0" fillId="5" borderId="3" xfId="0" applyNumberFormat="1" applyFill="1" applyBorder="1"/>
    <xf numFmtId="0" fontId="0" fillId="22" borderId="3" xfId="0" applyFill="1" applyBorder="1"/>
    <xf numFmtId="44" fontId="0" fillId="22" borderId="3" xfId="0" applyNumberFormat="1" applyFill="1" applyBorder="1"/>
    <xf numFmtId="10" fontId="0" fillId="22" borderId="3" xfId="0" applyNumberFormat="1" applyFill="1" applyBorder="1"/>
    <xf numFmtId="0" fontId="0" fillId="2" borderId="3" xfId="0" applyFill="1" applyBorder="1"/>
    <xf numFmtId="44" fontId="0" fillId="2" borderId="3" xfId="0" applyNumberFormat="1" applyFill="1" applyBorder="1"/>
    <xf numFmtId="10" fontId="0" fillId="2" borderId="3" xfId="0" applyNumberFormat="1" applyFill="1" applyBorder="1"/>
    <xf numFmtId="6" fontId="0" fillId="0" borderId="0" xfId="0" applyNumberFormat="1" applyFill="1"/>
    <xf numFmtId="44" fontId="0" fillId="0" borderId="0" xfId="2" applyFont="1" applyFill="1"/>
    <xf numFmtId="9" fontId="0" fillId="0" borderId="0" xfId="2" applyNumberFormat="1" applyFont="1" applyFill="1"/>
    <xf numFmtId="168" fontId="0" fillId="0" borderId="0" xfId="2" applyNumberFormat="1" applyFont="1" applyFill="1"/>
    <xf numFmtId="164" fontId="0" fillId="23" borderId="3" xfId="0" applyNumberFormat="1" applyFill="1" applyBorder="1"/>
    <xf numFmtId="167" fontId="0" fillId="17" borderId="0" xfId="0" applyNumberFormat="1" applyFill="1"/>
    <xf numFmtId="44" fontId="0" fillId="24" borderId="3" xfId="2" applyFont="1" applyFill="1" applyBorder="1"/>
    <xf numFmtId="165" fontId="0" fillId="18" borderId="3" xfId="0" applyNumberFormat="1" applyFill="1" applyBorder="1"/>
    <xf numFmtId="0" fontId="0" fillId="22" borderId="0" xfId="0" applyFill="1"/>
    <xf numFmtId="0" fontId="0" fillId="0" borderId="3" xfId="0" applyFill="1" applyBorder="1"/>
    <xf numFmtId="44" fontId="0" fillId="0" borderId="3" xfId="0" applyNumberFormat="1" applyFill="1" applyBorder="1"/>
    <xf numFmtId="168" fontId="0" fillId="0" borderId="3" xfId="3" applyNumberFormat="1" applyFont="1" applyFill="1" applyBorder="1"/>
    <xf numFmtId="168" fontId="0" fillId="0" borderId="3" xfId="0" applyNumberFormat="1" applyFill="1" applyBorder="1"/>
    <xf numFmtId="10" fontId="0" fillId="0" borderId="3" xfId="0" applyNumberFormat="1" applyFill="1" applyBorder="1"/>
    <xf numFmtId="44" fontId="0" fillId="22" borderId="3" xfId="2" applyFont="1" applyFill="1" applyBorder="1"/>
    <xf numFmtId="44" fontId="0" fillId="5" borderId="3" xfId="2" applyFont="1" applyFill="1" applyBorder="1"/>
    <xf numFmtId="44" fontId="0" fillId="17" borderId="0" xfId="2" applyFont="1" applyFill="1"/>
    <xf numFmtId="44" fontId="0" fillId="2" borderId="3" xfId="2" applyFont="1" applyFill="1" applyBorder="1"/>
  </cellXfs>
  <cellStyles count="8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Normal" xfId="0" builtinId="0"/>
    <cellStyle name="Percent" xfId="3" builtinId="5"/>
  </cellStyles>
  <dxfs count="0"/>
  <tableStyles count="0" defaultTableStyle="TableStyleMedium9" defaultPivotStyle="PivotStyleMedium7"/>
  <colors>
    <mruColors>
      <color rgb="FFFF99B2"/>
      <color rgb="FFF98F8E"/>
      <color rgb="FFFFF900"/>
      <color rgb="FFC6B4FF"/>
      <color rgb="FFEEEE78"/>
      <color rgb="FFFF6B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"/>
  <sheetViews>
    <sheetView tabSelected="1" topLeftCell="A419" workbookViewId="0">
      <selection activeCell="C457" sqref="C457"/>
    </sheetView>
  </sheetViews>
  <sheetFormatPr baseColWidth="10" defaultRowHeight="16" x14ac:dyDescent="0.2"/>
  <cols>
    <col min="1" max="1" width="24.33203125" customWidth="1"/>
    <col min="2" max="2" width="11.33203125" bestFit="1" customWidth="1"/>
    <col min="6" max="6" width="11.6640625" customWidth="1"/>
  </cols>
  <sheetData>
    <row r="1" spans="1:8" x14ac:dyDescent="0.2">
      <c r="A1" t="s">
        <v>84</v>
      </c>
      <c r="B1">
        <v>19</v>
      </c>
      <c r="C1">
        <v>20</v>
      </c>
      <c r="D1">
        <v>21</v>
      </c>
      <c r="E1">
        <v>22</v>
      </c>
      <c r="F1">
        <v>23</v>
      </c>
      <c r="G1">
        <v>24</v>
      </c>
      <c r="H1">
        <v>25</v>
      </c>
    </row>
    <row r="2" spans="1:8" x14ac:dyDescent="0.2">
      <c r="A2" t="s">
        <v>133</v>
      </c>
      <c r="B2">
        <v>3642</v>
      </c>
      <c r="D2">
        <v>1850</v>
      </c>
      <c r="E2">
        <v>1850</v>
      </c>
      <c r="F2">
        <v>1850</v>
      </c>
      <c r="G2">
        <v>1850</v>
      </c>
      <c r="H2">
        <v>1850</v>
      </c>
    </row>
    <row r="3" spans="1:8" x14ac:dyDescent="0.2">
      <c r="A3" t="s">
        <v>134</v>
      </c>
      <c r="B3">
        <v>299</v>
      </c>
      <c r="D3">
        <v>150</v>
      </c>
      <c r="E3">
        <v>150</v>
      </c>
      <c r="F3">
        <v>150</v>
      </c>
      <c r="G3">
        <v>150</v>
      </c>
      <c r="H3">
        <v>150</v>
      </c>
    </row>
    <row r="4" spans="1:8" x14ac:dyDescent="0.2">
      <c r="A4" t="s">
        <v>135</v>
      </c>
      <c r="B4">
        <v>1142</v>
      </c>
    </row>
    <row r="5" spans="1:8" x14ac:dyDescent="0.2">
      <c r="A5" t="s">
        <v>136</v>
      </c>
      <c r="B5">
        <v>426</v>
      </c>
    </row>
    <row r="6" spans="1:8" x14ac:dyDescent="0.2">
      <c r="A6" t="s">
        <v>1</v>
      </c>
      <c r="B6">
        <f>SUM(B2:B5)</f>
        <v>5509</v>
      </c>
      <c r="C6">
        <v>5000</v>
      </c>
      <c r="D6">
        <f t="shared" ref="D6:G6" si="0">SUM(D2:D5)</f>
        <v>2000</v>
      </c>
      <c r="E6">
        <f t="shared" si="0"/>
        <v>2000</v>
      </c>
      <c r="F6">
        <f t="shared" si="0"/>
        <v>2000</v>
      </c>
      <c r="G6">
        <f t="shared" si="0"/>
        <v>2000</v>
      </c>
      <c r="H6">
        <f>SUM(H2:H5)</f>
        <v>2000</v>
      </c>
    </row>
    <row r="7" spans="1:8" x14ac:dyDescent="0.2">
      <c r="A7" t="s">
        <v>146</v>
      </c>
      <c r="B7">
        <f>B2+B3</f>
        <v>3941</v>
      </c>
    </row>
    <row r="9" spans="1:8" x14ac:dyDescent="0.2">
      <c r="A9" t="s">
        <v>130</v>
      </c>
      <c r="B9" s="49">
        <v>62000</v>
      </c>
      <c r="C9" s="49">
        <v>62000</v>
      </c>
      <c r="D9" s="49">
        <v>62000</v>
      </c>
      <c r="E9" s="49">
        <v>62000</v>
      </c>
      <c r="F9" s="49">
        <v>62000</v>
      </c>
      <c r="G9" s="49">
        <v>62000</v>
      </c>
      <c r="H9" s="49">
        <v>62000</v>
      </c>
    </row>
    <row r="10" spans="1:8" x14ac:dyDescent="0.2">
      <c r="B10" s="68">
        <f>B9/1000000</f>
        <v>6.2E-2</v>
      </c>
      <c r="C10" s="68">
        <f t="shared" ref="C10:G10" si="1">C9/1000000</f>
        <v>6.2E-2</v>
      </c>
      <c r="D10" s="68">
        <f t="shared" si="1"/>
        <v>6.2E-2</v>
      </c>
      <c r="E10" s="68">
        <f t="shared" si="1"/>
        <v>6.2E-2</v>
      </c>
      <c r="F10" s="68">
        <f t="shared" si="1"/>
        <v>6.2E-2</v>
      </c>
      <c r="G10" s="68">
        <f t="shared" si="1"/>
        <v>6.2E-2</v>
      </c>
      <c r="H10" s="68">
        <f>H9/1000000</f>
        <v>6.2E-2</v>
      </c>
    </row>
    <row r="11" spans="1:8" x14ac:dyDescent="0.2">
      <c r="A11" t="s">
        <v>138</v>
      </c>
      <c r="B11" s="49">
        <v>17500</v>
      </c>
      <c r="C11" s="49">
        <v>17500</v>
      </c>
      <c r="D11" s="49">
        <v>17500</v>
      </c>
      <c r="E11" s="49">
        <v>17500</v>
      </c>
      <c r="F11" s="49">
        <v>17500</v>
      </c>
      <c r="G11" s="49">
        <v>17500</v>
      </c>
      <c r="H11" s="49">
        <v>17500</v>
      </c>
    </row>
    <row r="12" spans="1:8" x14ac:dyDescent="0.2">
      <c r="B12" s="68">
        <f>B11/1000000</f>
        <v>1.7500000000000002E-2</v>
      </c>
      <c r="C12" s="68">
        <f t="shared" ref="C12:G12" si="2">C11/1000000</f>
        <v>1.7500000000000002E-2</v>
      </c>
      <c r="D12" s="68">
        <f t="shared" si="2"/>
        <v>1.7500000000000002E-2</v>
      </c>
      <c r="E12" s="68">
        <f t="shared" si="2"/>
        <v>1.7500000000000002E-2</v>
      </c>
      <c r="F12" s="68">
        <f t="shared" si="2"/>
        <v>1.7500000000000002E-2</v>
      </c>
      <c r="G12" s="68">
        <f t="shared" si="2"/>
        <v>1.7500000000000002E-2</v>
      </c>
      <c r="H12" s="68">
        <f>H11/1000000</f>
        <v>1.7500000000000002E-2</v>
      </c>
    </row>
    <row r="13" spans="1:8" x14ac:dyDescent="0.2">
      <c r="A13" t="s">
        <v>140</v>
      </c>
      <c r="B13" s="49">
        <v>17500</v>
      </c>
      <c r="C13" s="49">
        <v>17500</v>
      </c>
      <c r="D13" s="49">
        <v>17500</v>
      </c>
      <c r="E13" s="49">
        <v>17500</v>
      </c>
      <c r="F13" s="49">
        <v>17500</v>
      </c>
      <c r="G13" s="49">
        <v>17500</v>
      </c>
      <c r="H13" s="49">
        <v>17500</v>
      </c>
    </row>
    <row r="14" spans="1:8" x14ac:dyDescent="0.2">
      <c r="B14" s="68">
        <f>B13/1000000</f>
        <v>1.7500000000000002E-2</v>
      </c>
      <c r="C14" s="68">
        <f t="shared" ref="C14:G14" si="3">C13/1000000</f>
        <v>1.7500000000000002E-2</v>
      </c>
      <c r="D14" s="68">
        <f t="shared" si="3"/>
        <v>1.7500000000000002E-2</v>
      </c>
      <c r="E14" s="68">
        <f t="shared" si="3"/>
        <v>1.7500000000000002E-2</v>
      </c>
      <c r="F14" s="68">
        <f t="shared" si="3"/>
        <v>1.7500000000000002E-2</v>
      </c>
      <c r="G14" s="68">
        <f t="shared" si="3"/>
        <v>1.7500000000000002E-2</v>
      </c>
      <c r="H14" s="68">
        <f>H13/1000000</f>
        <v>1.7500000000000002E-2</v>
      </c>
    </row>
    <row r="16" spans="1:8" x14ac:dyDescent="0.2">
      <c r="A16" t="s">
        <v>77</v>
      </c>
      <c r="B16" s="39">
        <v>14000</v>
      </c>
      <c r="C16" s="44">
        <f>C6*C18</f>
        <v>12500</v>
      </c>
      <c r="D16" s="44">
        <f t="shared" ref="D16:H16" si="4">D6*D18</f>
        <v>5000</v>
      </c>
      <c r="E16" s="44">
        <f t="shared" si="4"/>
        <v>5000</v>
      </c>
      <c r="F16" s="44">
        <f t="shared" si="4"/>
        <v>5000</v>
      </c>
      <c r="G16" s="44">
        <f t="shared" si="4"/>
        <v>5000</v>
      </c>
      <c r="H16" s="44">
        <f t="shared" si="4"/>
        <v>5000</v>
      </c>
    </row>
    <row r="17" spans="1:9" x14ac:dyDescent="0.2">
      <c r="A17" t="s">
        <v>78</v>
      </c>
      <c r="B17" s="39">
        <v>32000</v>
      </c>
      <c r="C17" s="44">
        <f>C6*C19</f>
        <v>29049.999999999996</v>
      </c>
      <c r="D17" s="44">
        <f t="shared" ref="D17:H17" si="5">D6*D19</f>
        <v>11620</v>
      </c>
      <c r="E17" s="44">
        <f t="shared" si="5"/>
        <v>11620</v>
      </c>
      <c r="F17" s="44">
        <f t="shared" si="5"/>
        <v>11620</v>
      </c>
      <c r="G17" s="44">
        <f t="shared" si="5"/>
        <v>11620</v>
      </c>
      <c r="H17" s="44">
        <f t="shared" si="5"/>
        <v>11620</v>
      </c>
    </row>
    <row r="18" spans="1:9" x14ac:dyDescent="0.2">
      <c r="A18" t="s">
        <v>80</v>
      </c>
      <c r="B18" s="6">
        <f>B16/B6</f>
        <v>2.5412960609911055</v>
      </c>
      <c r="C18" s="6">
        <v>2.5</v>
      </c>
      <c r="D18" s="6">
        <v>2.5</v>
      </c>
      <c r="E18" s="6">
        <v>2.5</v>
      </c>
      <c r="F18" s="6">
        <v>2.5</v>
      </c>
      <c r="G18" s="6">
        <v>2.5</v>
      </c>
      <c r="H18" s="6">
        <v>2.5</v>
      </c>
    </row>
    <row r="19" spans="1:9" x14ac:dyDescent="0.2">
      <c r="A19" t="s">
        <v>82</v>
      </c>
      <c r="B19" s="42">
        <f>B17/B6</f>
        <v>5.8086767108368127</v>
      </c>
      <c r="C19" s="42">
        <v>5.81</v>
      </c>
      <c r="D19" s="42">
        <v>5.81</v>
      </c>
      <c r="E19" s="42">
        <v>5.81</v>
      </c>
      <c r="F19" s="42">
        <v>5.81</v>
      </c>
      <c r="G19" s="42">
        <v>5.81</v>
      </c>
      <c r="H19" s="42">
        <v>5.81</v>
      </c>
    </row>
    <row r="20" spans="1:9" x14ac:dyDescent="0.2">
      <c r="A20" t="s">
        <v>83</v>
      </c>
      <c r="B20" s="44">
        <f t="shared" ref="B20" si="6">(B18*40*50)+(B19*40*15)</f>
        <v>8567.7981484842985</v>
      </c>
      <c r="C20" s="44">
        <f t="shared" ref="C20:H20" si="7">(C18*40*50)+(C19*40*15)</f>
        <v>8486</v>
      </c>
      <c r="D20" s="44">
        <f t="shared" si="7"/>
        <v>8486</v>
      </c>
      <c r="E20" s="44">
        <f t="shared" si="7"/>
        <v>8486</v>
      </c>
      <c r="F20" s="44">
        <f t="shared" si="7"/>
        <v>8486</v>
      </c>
      <c r="G20" s="44">
        <f t="shared" si="7"/>
        <v>8486</v>
      </c>
      <c r="H20" s="44">
        <f t="shared" si="7"/>
        <v>8486</v>
      </c>
    </row>
    <row r="22" spans="1:9" x14ac:dyDescent="0.2">
      <c r="A22" t="s">
        <v>137</v>
      </c>
      <c r="B22" s="61">
        <f>B6*B10</f>
        <v>341.55799999999999</v>
      </c>
      <c r="C22" s="61">
        <f>C6*C10</f>
        <v>310</v>
      </c>
      <c r="D22" s="61">
        <f>D6*D10</f>
        <v>124</v>
      </c>
      <c r="E22" s="61">
        <f>E6*E10</f>
        <v>124</v>
      </c>
      <c r="F22" s="61">
        <f>F6*F10</f>
        <v>124</v>
      </c>
      <c r="G22" s="61">
        <f>G6*G10</f>
        <v>124</v>
      </c>
      <c r="H22" s="61">
        <f>H6*H10</f>
        <v>124</v>
      </c>
    </row>
    <row r="23" spans="1:9" x14ac:dyDescent="0.2">
      <c r="A23" t="s">
        <v>139</v>
      </c>
      <c r="B23" s="61">
        <f>B12*B6</f>
        <v>96.407500000000013</v>
      </c>
      <c r="C23" s="61">
        <f>C12*C6</f>
        <v>87.500000000000014</v>
      </c>
      <c r="D23" s="61">
        <f>D12*D6</f>
        <v>35</v>
      </c>
      <c r="E23" s="61">
        <f>E12*E6</f>
        <v>35</v>
      </c>
      <c r="F23" s="61">
        <f>F12*F6</f>
        <v>35</v>
      </c>
      <c r="G23" s="61">
        <f>G12*G6</f>
        <v>35</v>
      </c>
      <c r="H23" s="61">
        <f>H12*H6</f>
        <v>35</v>
      </c>
    </row>
    <row r="24" spans="1:9" x14ac:dyDescent="0.2">
      <c r="A24" t="s">
        <v>121</v>
      </c>
      <c r="B24" s="61">
        <f>B14*B6</f>
        <v>96.407500000000013</v>
      </c>
      <c r="C24" s="61">
        <f>C14*C6</f>
        <v>87.500000000000014</v>
      </c>
      <c r="D24" s="61">
        <f>D14*D6</f>
        <v>35</v>
      </c>
      <c r="E24" s="61">
        <f>E14*E6</f>
        <v>35</v>
      </c>
      <c r="F24" s="61">
        <f>F14*F6</f>
        <v>35</v>
      </c>
      <c r="G24" s="61">
        <f>G14*G6</f>
        <v>35</v>
      </c>
      <c r="H24" s="61">
        <f>H14*H6</f>
        <v>35</v>
      </c>
    </row>
    <row r="25" spans="1:9" x14ac:dyDescent="0.2">
      <c r="A25" t="s">
        <v>141</v>
      </c>
      <c r="B25" s="89">
        <v>550</v>
      </c>
      <c r="C25" s="89">
        <v>330</v>
      </c>
      <c r="D25" s="89">
        <v>330</v>
      </c>
      <c r="E25" s="89">
        <v>330</v>
      </c>
      <c r="F25" s="89">
        <v>330</v>
      </c>
      <c r="G25" s="89">
        <v>330</v>
      </c>
      <c r="H25" s="89">
        <v>330</v>
      </c>
      <c r="I25" t="s">
        <v>142</v>
      </c>
    </row>
    <row r="26" spans="1:9" x14ac:dyDescent="0.2">
      <c r="A26" t="s">
        <v>143</v>
      </c>
      <c r="B26" s="66">
        <f>(B6*B20*15)/1000000</f>
        <v>708</v>
      </c>
      <c r="C26" s="66">
        <f>(C6*C20*15)/1000000</f>
        <v>636.45000000000005</v>
      </c>
      <c r="D26" s="66">
        <f>(D6*D20*15)/1000000</f>
        <v>254.58</v>
      </c>
      <c r="E26" s="66">
        <f>(E6*E20*15)/1000000</f>
        <v>254.58</v>
      </c>
      <c r="F26" s="66">
        <f>(F6*F20*15)/1000000</f>
        <v>254.58</v>
      </c>
      <c r="G26" s="66">
        <f>(G6*G20*15)/1000000</f>
        <v>254.58</v>
      </c>
      <c r="H26" s="66">
        <f>(H6*H20*15)/1000000</f>
        <v>254.58</v>
      </c>
    </row>
    <row r="27" spans="1:9" x14ac:dyDescent="0.2">
      <c r="A27" t="s">
        <v>144</v>
      </c>
      <c r="B27" s="89">
        <v>66.7</v>
      </c>
      <c r="C27" s="89">
        <v>150</v>
      </c>
      <c r="D27" s="89">
        <v>150</v>
      </c>
      <c r="E27" s="89">
        <v>150</v>
      </c>
      <c r="F27" s="89">
        <v>150</v>
      </c>
      <c r="G27" s="89">
        <v>150</v>
      </c>
      <c r="H27" s="89">
        <v>150</v>
      </c>
    </row>
    <row r="29" spans="1:9" x14ac:dyDescent="0.2">
      <c r="A29" t="s">
        <v>177</v>
      </c>
      <c r="B29" s="61">
        <f>B22+B23+B24+B26</f>
        <v>1242.373</v>
      </c>
      <c r="C29" s="61">
        <f>C22+C23+C24+C26</f>
        <v>1121.45</v>
      </c>
      <c r="D29" s="61">
        <f t="shared" ref="D29:H29" si="8">D22+D23+D24+D26</f>
        <v>448.58000000000004</v>
      </c>
      <c r="E29" s="61">
        <f t="shared" si="8"/>
        <v>448.58000000000004</v>
      </c>
      <c r="F29" s="61">
        <f t="shared" si="8"/>
        <v>448.58000000000004</v>
      </c>
      <c r="G29" s="61">
        <f t="shared" si="8"/>
        <v>448.58000000000004</v>
      </c>
      <c r="H29" s="61">
        <f t="shared" si="8"/>
        <v>448.58000000000004</v>
      </c>
    </row>
    <row r="30" spans="1:9" x14ac:dyDescent="0.2">
      <c r="A30" t="s">
        <v>178</v>
      </c>
      <c r="B30" s="61">
        <f>B25+B27</f>
        <v>616.70000000000005</v>
      </c>
      <c r="C30" s="61">
        <f t="shared" ref="C30:H30" si="9">C25+C27</f>
        <v>480</v>
      </c>
      <c r="D30" s="61">
        <f t="shared" si="9"/>
        <v>480</v>
      </c>
      <c r="E30" s="61">
        <f t="shared" si="9"/>
        <v>480</v>
      </c>
      <c r="F30" s="61">
        <f t="shared" si="9"/>
        <v>480</v>
      </c>
      <c r="G30" s="61">
        <f t="shared" si="9"/>
        <v>480</v>
      </c>
      <c r="H30" s="61">
        <f t="shared" si="9"/>
        <v>480</v>
      </c>
    </row>
    <row r="31" spans="1:9" x14ac:dyDescent="0.2">
      <c r="A31" t="s">
        <v>123</v>
      </c>
      <c r="B31" s="61">
        <f>SUM(B22:B27)</f>
        <v>1859.0730000000001</v>
      </c>
      <c r="C31" s="61">
        <f t="shared" ref="C31:G31" si="10">SUM(C22:C27)</f>
        <v>1601.45</v>
      </c>
      <c r="D31" s="61">
        <f t="shared" si="10"/>
        <v>928.58</v>
      </c>
      <c r="E31" s="61">
        <f t="shared" si="10"/>
        <v>928.58</v>
      </c>
      <c r="F31" s="61">
        <f t="shared" si="10"/>
        <v>928.58</v>
      </c>
      <c r="G31" s="61">
        <f t="shared" si="10"/>
        <v>928.58</v>
      </c>
      <c r="H31" s="61">
        <f>SUM(H22:H27)</f>
        <v>928.58</v>
      </c>
    </row>
    <row r="32" spans="1:9" x14ac:dyDescent="0.2">
      <c r="B32" s="61"/>
      <c r="C32" s="61"/>
      <c r="D32" s="61"/>
      <c r="E32" s="61"/>
      <c r="F32" s="61"/>
      <c r="G32" s="61"/>
      <c r="H32" s="61"/>
    </row>
    <row r="33" spans="1:8" x14ac:dyDescent="0.2">
      <c r="A33" t="s">
        <v>179</v>
      </c>
      <c r="B33" s="68">
        <f>B29/B6</f>
        <v>0.22551697222726449</v>
      </c>
      <c r="C33" s="68">
        <f>C29/C6</f>
        <v>0.22429000000000002</v>
      </c>
      <c r="D33" s="68">
        <f>D29/D6</f>
        <v>0.22429000000000002</v>
      </c>
      <c r="E33" s="68">
        <f>E29/E6</f>
        <v>0.22429000000000002</v>
      </c>
      <c r="F33" s="68">
        <f>F29/F6</f>
        <v>0.22429000000000002</v>
      </c>
      <c r="G33" s="68">
        <f>G29/G6</f>
        <v>0.22429000000000002</v>
      </c>
      <c r="H33" s="68">
        <f>H29/H6</f>
        <v>0.22429000000000002</v>
      </c>
    </row>
    <row r="34" spans="1:8" x14ac:dyDescent="0.2">
      <c r="A34" s="53"/>
      <c r="B34" s="53"/>
      <c r="C34" s="53"/>
      <c r="D34" s="53"/>
      <c r="E34" s="53"/>
      <c r="F34" s="53"/>
      <c r="G34" s="53"/>
      <c r="H34" s="53"/>
    </row>
    <row r="35" spans="1:8" x14ac:dyDescent="0.2">
      <c r="A35" t="s">
        <v>145</v>
      </c>
    </row>
    <row r="36" spans="1:8" x14ac:dyDescent="0.2">
      <c r="A36" s="91" t="s">
        <v>318</v>
      </c>
    </row>
    <row r="37" spans="1:8" x14ac:dyDescent="0.2">
      <c r="C37">
        <v>20</v>
      </c>
      <c r="D37">
        <v>21</v>
      </c>
      <c r="E37">
        <v>22</v>
      </c>
      <c r="F37">
        <v>23</v>
      </c>
      <c r="G37">
        <v>24</v>
      </c>
      <c r="H37">
        <v>25</v>
      </c>
    </row>
    <row r="38" spans="1:8" x14ac:dyDescent="0.2">
      <c r="A38" t="s">
        <v>86</v>
      </c>
      <c r="C38" s="64"/>
      <c r="D38" s="90">
        <v>2000</v>
      </c>
      <c r="E38" s="90">
        <v>2000</v>
      </c>
      <c r="F38" s="90">
        <v>2000</v>
      </c>
      <c r="G38" s="90">
        <v>2000</v>
      </c>
      <c r="H38" s="90">
        <v>2000</v>
      </c>
    </row>
    <row r="40" spans="1:8" x14ac:dyDescent="0.2">
      <c r="A40" t="s">
        <v>88</v>
      </c>
      <c r="C40">
        <v>14.4</v>
      </c>
      <c r="D40" s="2">
        <f>C40*1.15</f>
        <v>16.559999999999999</v>
      </c>
      <c r="E40" s="2">
        <f>D40*1.1</f>
        <v>18.216000000000001</v>
      </c>
      <c r="F40" s="2">
        <f>E40*1.1</f>
        <v>20.037600000000001</v>
      </c>
      <c r="G40" s="2">
        <f>F40*0.9</f>
        <v>18.033840000000001</v>
      </c>
      <c r="H40" s="2">
        <f>G40*0.8</f>
        <v>14.427072000000003</v>
      </c>
    </row>
    <row r="41" spans="1:8" x14ac:dyDescent="0.2">
      <c r="A41" t="s">
        <v>90</v>
      </c>
      <c r="B41" t="s">
        <v>147</v>
      </c>
      <c r="C41">
        <v>9.6</v>
      </c>
      <c r="D41" s="2">
        <f>C41*1.25</f>
        <v>12</v>
      </c>
      <c r="E41" s="2">
        <f>D41*1.2</f>
        <v>14.399999999999999</v>
      </c>
      <c r="F41" s="2">
        <f>E41*0.9</f>
        <v>12.959999999999999</v>
      </c>
      <c r="G41" s="2">
        <f>F41*0.8</f>
        <v>10.368</v>
      </c>
      <c r="H41" s="2">
        <f>G41*0.8</f>
        <v>8.2944000000000013</v>
      </c>
    </row>
    <row r="42" spans="1:8" x14ac:dyDescent="0.2">
      <c r="A42" t="s">
        <v>92</v>
      </c>
      <c r="C42" s="2">
        <v>16</v>
      </c>
      <c r="D42" s="2">
        <v>15</v>
      </c>
      <c r="E42" s="2">
        <v>15</v>
      </c>
      <c r="F42" s="2">
        <v>15</v>
      </c>
      <c r="G42" s="2">
        <f>F42*0.9</f>
        <v>13.5</v>
      </c>
      <c r="H42" s="2">
        <f>G42*0.8</f>
        <v>10.8</v>
      </c>
    </row>
    <row r="43" spans="1:8" x14ac:dyDescent="0.2">
      <c r="A43" t="s">
        <v>63</v>
      </c>
      <c r="C43" s="2">
        <f>SUM(C40:C42)</f>
        <v>40</v>
      </c>
      <c r="D43" s="2">
        <f t="shared" ref="D43:H43" si="11">SUM(D40:D42)</f>
        <v>43.56</v>
      </c>
      <c r="E43" s="2">
        <f t="shared" si="11"/>
        <v>47.616</v>
      </c>
      <c r="F43" s="2">
        <f t="shared" si="11"/>
        <v>47.997599999999998</v>
      </c>
      <c r="G43" s="2">
        <f t="shared" si="11"/>
        <v>41.90184</v>
      </c>
      <c r="H43" s="2">
        <f t="shared" si="11"/>
        <v>33.521472000000003</v>
      </c>
    </row>
    <row r="45" spans="1:8" x14ac:dyDescent="0.2">
      <c r="A45" t="s">
        <v>94</v>
      </c>
      <c r="C45" s="2">
        <f>C40*4</f>
        <v>57.6</v>
      </c>
      <c r="D45" s="2">
        <f>(C40*2)+(D40*4)</f>
        <v>95.039999999999992</v>
      </c>
      <c r="E45" s="2">
        <f>(C40*1)+(D40*2)+(E40*4)</f>
        <v>120.384</v>
      </c>
      <c r="F45" s="2">
        <f>(C40*1)+(D40*1)+(E40*2)+(F40*4)</f>
        <v>147.54239999999999</v>
      </c>
      <c r="G45" s="2">
        <f>(C40*0.5)+(D40*1)+(E40*1)+(F40*2)+(G40*4)</f>
        <v>154.18655999999999</v>
      </c>
      <c r="H45" s="2">
        <f>(D40*0.5)+(E40*1)+(F40*1)+(G40*2)+(H40*4)</f>
        <v>140.30956800000001</v>
      </c>
    </row>
    <row r="46" spans="1:8" x14ac:dyDescent="0.2">
      <c r="A46" t="s">
        <v>95</v>
      </c>
      <c r="B46" t="s">
        <v>147</v>
      </c>
      <c r="C46" s="2">
        <f>C41*3.5</f>
        <v>33.6</v>
      </c>
      <c r="D46" s="2">
        <f>(C41*2)+(D41*3.5)</f>
        <v>61.2</v>
      </c>
      <c r="E46" s="2">
        <f>(C41*1)+(D41*2)+(E41*3.5)</f>
        <v>84</v>
      </c>
      <c r="F46" s="2">
        <f>(C41*1)+(D41*1)+(E41*2)+(F41*3.5)</f>
        <v>95.759999999999991</v>
      </c>
      <c r="G46" s="2">
        <f>(C41*0.5)+(D41*1)+(E41*1)+(F41*2)+(G41*3.5)</f>
        <v>93.408000000000001</v>
      </c>
      <c r="H46" s="2">
        <f>(D41*0.5)+(E41*1)+(F41*1)+(G41*2)+(H41*3.5)</f>
        <v>83.126400000000004</v>
      </c>
    </row>
    <row r="47" spans="1:8" x14ac:dyDescent="0.2">
      <c r="A47" t="s">
        <v>97</v>
      </c>
      <c r="C47" s="2">
        <f>C42*3.3</f>
        <v>52.8</v>
      </c>
      <c r="D47" s="2">
        <f>(C42*2)+(D42*3.3)</f>
        <v>81.5</v>
      </c>
      <c r="E47" s="2">
        <f>(C42*1)+(D42*2)+(E42*3.3)</f>
        <v>95.5</v>
      </c>
      <c r="F47" s="2">
        <f>(C42*1)+(D42*1)+(E42*2)+(F42*3.3)</f>
        <v>110.5</v>
      </c>
      <c r="G47" s="2">
        <f>(C42*0.5)+(D42*1)+(E42*1)+(F42*2)+(G42*3.3)</f>
        <v>112.55</v>
      </c>
      <c r="H47" s="2">
        <f>(D42*0.5)+(E42*1)+(F42*1)+(G42*2)+(H42*3.3)</f>
        <v>100.14</v>
      </c>
    </row>
    <row r="48" spans="1:8" x14ac:dyDescent="0.2">
      <c r="A48" t="s">
        <v>159</v>
      </c>
      <c r="C48" s="2">
        <v>200</v>
      </c>
      <c r="D48" s="2">
        <v>175</v>
      </c>
      <c r="E48" s="2">
        <v>150</v>
      </c>
      <c r="F48" s="2">
        <v>125</v>
      </c>
      <c r="G48" s="2">
        <v>100</v>
      </c>
      <c r="H48" s="2">
        <v>75</v>
      </c>
    </row>
    <row r="49" spans="1:11" x14ac:dyDescent="0.2">
      <c r="A49" t="s">
        <v>14</v>
      </c>
      <c r="C49" s="2">
        <f>SUM(C45:C48)</f>
        <v>344</v>
      </c>
      <c r="D49" s="2">
        <f t="shared" ref="D49:H49" si="12">SUM(D45:D48)</f>
        <v>412.74</v>
      </c>
      <c r="E49" s="2">
        <f t="shared" si="12"/>
        <v>449.88400000000001</v>
      </c>
      <c r="F49" s="2">
        <f t="shared" si="12"/>
        <v>478.80239999999998</v>
      </c>
      <c r="G49" s="2">
        <f t="shared" si="12"/>
        <v>460.14456000000001</v>
      </c>
      <c r="H49" s="2">
        <f t="shared" si="12"/>
        <v>398.57596799999999</v>
      </c>
    </row>
    <row r="50" spans="1:11" x14ac:dyDescent="0.2">
      <c r="A50" s="1"/>
      <c r="B50" s="1"/>
      <c r="C50" s="1"/>
      <c r="D50" s="1"/>
      <c r="E50" s="1"/>
      <c r="F50" s="1"/>
      <c r="G50" s="1"/>
      <c r="H50" s="1"/>
    </row>
    <row r="51" spans="1:11" x14ac:dyDescent="0.2">
      <c r="A51" t="s">
        <v>149</v>
      </c>
      <c r="B51" t="s">
        <v>160</v>
      </c>
      <c r="D51" s="42">
        <f>(D53*1000000)/D38</f>
        <v>1089.0000000000002</v>
      </c>
      <c r="E51" s="44">
        <f>(E53*1000000)/E38</f>
        <v>1190.4000000000003</v>
      </c>
      <c r="F51" s="44">
        <f>(F53*1000000)/F38</f>
        <v>1199.94</v>
      </c>
      <c r="G51" s="44">
        <f>(G53*1000000)/G38</f>
        <v>1047.546</v>
      </c>
      <c r="H51" s="44">
        <f>(H53*1000000)/H38</f>
        <v>838.0368000000002</v>
      </c>
    </row>
    <row r="52" spans="1:11" x14ac:dyDescent="0.2">
      <c r="A52" t="s">
        <v>101</v>
      </c>
      <c r="D52" s="79">
        <v>0.05</v>
      </c>
      <c r="E52" s="79">
        <f>D52</f>
        <v>0.05</v>
      </c>
      <c r="F52" s="79">
        <f t="shared" ref="F52:H52" si="13">E52</f>
        <v>0.05</v>
      </c>
      <c r="G52" s="79">
        <f t="shared" si="13"/>
        <v>0.05</v>
      </c>
      <c r="H52" s="79">
        <f t="shared" si="13"/>
        <v>0.05</v>
      </c>
      <c r="J52" t="s">
        <v>186</v>
      </c>
    </row>
    <row r="53" spans="1:11" x14ac:dyDescent="0.2">
      <c r="A53" t="s">
        <v>104</v>
      </c>
      <c r="D53" s="54">
        <f>D43*D52</f>
        <v>2.1780000000000004</v>
      </c>
      <c r="E53" s="54">
        <f>E43*E52</f>
        <v>2.3808000000000002</v>
      </c>
      <c r="F53" s="54">
        <f>F43*F52</f>
        <v>2.39988</v>
      </c>
      <c r="G53" s="54">
        <f>G43*G52</f>
        <v>2.0950920000000002</v>
      </c>
      <c r="H53" s="54">
        <f>H43*H52</f>
        <v>1.6760736000000003</v>
      </c>
      <c r="K53" t="s">
        <v>187</v>
      </c>
    </row>
    <row r="54" spans="1:11" x14ac:dyDescent="0.2">
      <c r="A54" t="s">
        <v>107</v>
      </c>
      <c r="D54" s="49">
        <v>400</v>
      </c>
      <c r="E54" s="49">
        <v>400</v>
      </c>
      <c r="F54" s="49">
        <v>400</v>
      </c>
      <c r="G54" s="49">
        <v>400</v>
      </c>
      <c r="H54" s="49">
        <v>400</v>
      </c>
      <c r="K54" t="s">
        <v>315</v>
      </c>
    </row>
    <row r="55" spans="1:11" x14ac:dyDescent="0.2">
      <c r="A55" t="s">
        <v>110</v>
      </c>
      <c r="D55" s="66">
        <f>D53*D54</f>
        <v>871.20000000000016</v>
      </c>
      <c r="E55" s="66">
        <f t="shared" ref="E55:H55" si="14">E53*E54</f>
        <v>952.32</v>
      </c>
      <c r="F55" s="66">
        <f t="shared" si="14"/>
        <v>959.952</v>
      </c>
      <c r="G55" s="66">
        <f t="shared" si="14"/>
        <v>838.03680000000008</v>
      </c>
      <c r="H55" s="66">
        <f t="shared" si="14"/>
        <v>670.42944000000011</v>
      </c>
      <c r="K55" t="s">
        <v>316</v>
      </c>
    </row>
    <row r="56" spans="1:11" x14ac:dyDescent="0.2">
      <c r="A56" t="s">
        <v>111</v>
      </c>
      <c r="D56" s="72">
        <v>9.7000000000000003E-2</v>
      </c>
      <c r="E56" s="72">
        <v>9.7000000000000003E-2</v>
      </c>
      <c r="F56" s="72">
        <v>9.7000000000000003E-2</v>
      </c>
      <c r="G56" s="72">
        <v>9.7000000000000003E-2</v>
      </c>
      <c r="H56" s="72">
        <v>9.7000000000000003E-2</v>
      </c>
      <c r="K56" t="s">
        <v>317</v>
      </c>
    </row>
    <row r="57" spans="1:11" x14ac:dyDescent="0.2">
      <c r="A57" t="s">
        <v>112</v>
      </c>
      <c r="D57" s="66">
        <f>D55*D56</f>
        <v>84.506400000000014</v>
      </c>
      <c r="E57" s="66">
        <f t="shared" ref="E57:H57" si="15">E55*E56</f>
        <v>92.375040000000013</v>
      </c>
      <c r="F57" s="66">
        <f t="shared" si="15"/>
        <v>93.115344000000007</v>
      </c>
      <c r="G57" s="66">
        <f t="shared" si="15"/>
        <v>81.289569600000007</v>
      </c>
      <c r="H57" s="66">
        <f t="shared" si="15"/>
        <v>65.031655680000014</v>
      </c>
    </row>
    <row r="59" spans="1:11" x14ac:dyDescent="0.2">
      <c r="A59" t="s">
        <v>158</v>
      </c>
      <c r="D59" s="67">
        <f>D52*0.8</f>
        <v>4.0000000000000008E-2</v>
      </c>
      <c r="E59" s="67">
        <f t="shared" ref="E59:H59" si="16">E52*0.8</f>
        <v>4.0000000000000008E-2</v>
      </c>
      <c r="F59" s="67">
        <f t="shared" si="16"/>
        <v>4.0000000000000008E-2</v>
      </c>
      <c r="G59" s="67">
        <f t="shared" si="16"/>
        <v>4.0000000000000008E-2</v>
      </c>
      <c r="H59" s="67">
        <f t="shared" si="16"/>
        <v>4.0000000000000008E-2</v>
      </c>
    </row>
    <row r="60" spans="1:11" x14ac:dyDescent="0.2">
      <c r="A60" t="s">
        <v>114</v>
      </c>
      <c r="D60" s="19">
        <f>D49*D59</f>
        <v>16.509600000000002</v>
      </c>
      <c r="E60" s="19">
        <f>E49*E59</f>
        <v>17.995360000000005</v>
      </c>
      <c r="F60" s="19">
        <f>F49*F59</f>
        <v>19.152096000000004</v>
      </c>
      <c r="G60" s="19">
        <f>G49*G59</f>
        <v>18.405782400000003</v>
      </c>
      <c r="H60" s="19">
        <f>H49*H59</f>
        <v>15.943038720000002</v>
      </c>
    </row>
    <row r="61" spans="1:11" x14ac:dyDescent="0.2">
      <c r="A61" t="s">
        <v>116</v>
      </c>
      <c r="D61" s="49">
        <v>55</v>
      </c>
      <c r="E61" s="49">
        <v>55</v>
      </c>
      <c r="F61" s="49">
        <v>55</v>
      </c>
      <c r="G61" s="49">
        <v>55</v>
      </c>
      <c r="H61" s="49">
        <v>55</v>
      </c>
    </row>
    <row r="62" spans="1:11" x14ac:dyDescent="0.2">
      <c r="A62" t="s">
        <v>161</v>
      </c>
      <c r="C62">
        <v>600</v>
      </c>
      <c r="D62" s="66">
        <f>D60*D61</f>
        <v>908.02800000000013</v>
      </c>
      <c r="E62" s="66">
        <f t="shared" ref="E62:H62" si="17">E60*E61</f>
        <v>989.74480000000028</v>
      </c>
      <c r="F62" s="66">
        <f t="shared" si="17"/>
        <v>1053.3652800000002</v>
      </c>
      <c r="G62" s="66">
        <f t="shared" si="17"/>
        <v>1012.3180320000001</v>
      </c>
      <c r="H62" s="66">
        <f t="shared" si="17"/>
        <v>876.86712960000011</v>
      </c>
    </row>
    <row r="63" spans="1:11" x14ac:dyDescent="0.2">
      <c r="A63" t="s">
        <v>162</v>
      </c>
      <c r="D63" s="72">
        <v>0.22500000000000001</v>
      </c>
      <c r="E63" s="72">
        <v>0.22500000000000001</v>
      </c>
      <c r="F63" s="72">
        <v>0.22500000000000001</v>
      </c>
      <c r="G63" s="72">
        <v>0.22500000000000001</v>
      </c>
      <c r="H63" s="72">
        <v>0.22500000000000001</v>
      </c>
    </row>
    <row r="64" spans="1:11" x14ac:dyDescent="0.2">
      <c r="A64" t="s">
        <v>163</v>
      </c>
      <c r="D64" s="66">
        <f>D62*D63</f>
        <v>204.30630000000002</v>
      </c>
      <c r="E64" s="66">
        <f t="shared" ref="E64" si="18">E62*E63</f>
        <v>222.69258000000008</v>
      </c>
      <c r="F64" s="66">
        <f t="shared" ref="F64" si="19">F62*F63</f>
        <v>237.00718800000004</v>
      </c>
      <c r="G64" s="66">
        <f t="shared" ref="G64" si="20">G62*G63</f>
        <v>227.77155720000005</v>
      </c>
      <c r="H64" s="66">
        <f t="shared" ref="H64" si="21">H62*H63</f>
        <v>197.29510416000002</v>
      </c>
    </row>
    <row r="66" spans="1:10" x14ac:dyDescent="0.2">
      <c r="A66" t="s">
        <v>164</v>
      </c>
      <c r="D66" s="55">
        <v>0.34499999999999997</v>
      </c>
      <c r="E66" s="55">
        <f t="shared" ref="E66:H66" si="22">D66-0.5%</f>
        <v>0.33999999999999997</v>
      </c>
      <c r="F66" s="55">
        <f t="shared" si="22"/>
        <v>0.33499999999999996</v>
      </c>
      <c r="G66" s="55">
        <f t="shared" si="22"/>
        <v>0.32999999999999996</v>
      </c>
      <c r="H66" s="55">
        <f t="shared" si="22"/>
        <v>0.32499999999999996</v>
      </c>
    </row>
    <row r="67" spans="1:10" x14ac:dyDescent="0.2">
      <c r="A67" t="s">
        <v>119</v>
      </c>
      <c r="D67" s="60">
        <f>D66*(C62+D62)</f>
        <v>520.26966000000004</v>
      </c>
      <c r="E67" s="60">
        <f t="shared" ref="E67:H67" si="23">E66*(D62+E62)</f>
        <v>645.24275200000011</v>
      </c>
      <c r="F67" s="60">
        <f t="shared" si="23"/>
        <v>684.44187680000005</v>
      </c>
      <c r="G67" s="60">
        <f t="shared" si="23"/>
        <v>681.67549295999993</v>
      </c>
      <c r="H67" s="60">
        <f t="shared" si="23"/>
        <v>613.98517751999998</v>
      </c>
    </row>
    <row r="68" spans="1:10" x14ac:dyDescent="0.2">
      <c r="A68" t="s">
        <v>120</v>
      </c>
      <c r="D68" s="22">
        <v>0.43</v>
      </c>
      <c r="E68" s="22">
        <v>0.43</v>
      </c>
      <c r="F68" s="22">
        <v>0.43</v>
      </c>
      <c r="G68" s="22">
        <v>0.43</v>
      </c>
      <c r="H68" s="22">
        <v>0.43</v>
      </c>
    </row>
    <row r="69" spans="1:10" x14ac:dyDescent="0.2">
      <c r="A69" t="s">
        <v>122</v>
      </c>
      <c r="D69" s="60">
        <f t="shared" ref="D69:H69" si="24">D67*D68</f>
        <v>223.71595380000002</v>
      </c>
      <c r="E69" s="60">
        <f t="shared" si="24"/>
        <v>277.45438336000007</v>
      </c>
      <c r="F69" s="60">
        <f t="shared" si="24"/>
        <v>294.31000702400002</v>
      </c>
      <c r="G69" s="60">
        <f t="shared" si="24"/>
        <v>293.12046197279994</v>
      </c>
      <c r="H69" s="60">
        <f t="shared" si="24"/>
        <v>264.01362633359997</v>
      </c>
    </row>
    <row r="71" spans="1:10" x14ac:dyDescent="0.2">
      <c r="A71" t="s">
        <v>165</v>
      </c>
      <c r="D71" s="46">
        <v>178.5</v>
      </c>
      <c r="E71" s="46">
        <f t="shared" ref="E71:H71" si="25">D71*1.02</f>
        <v>182.07</v>
      </c>
      <c r="F71" s="46">
        <f t="shared" si="25"/>
        <v>185.7114</v>
      </c>
      <c r="G71" s="46">
        <f t="shared" si="25"/>
        <v>189.42562799999999</v>
      </c>
      <c r="H71" s="46">
        <f t="shared" si="25"/>
        <v>193.21414056</v>
      </c>
    </row>
    <row r="72" spans="1:10" x14ac:dyDescent="0.2">
      <c r="A72" t="s">
        <v>166</v>
      </c>
      <c r="D72" s="22">
        <v>0.85</v>
      </c>
      <c r="E72" s="22">
        <v>0.85</v>
      </c>
      <c r="F72" s="22">
        <v>0.85</v>
      </c>
      <c r="G72" s="22">
        <v>0.85</v>
      </c>
      <c r="H72" s="22">
        <v>0.85</v>
      </c>
    </row>
    <row r="73" spans="1:10" x14ac:dyDescent="0.2">
      <c r="A73" t="s">
        <v>167</v>
      </c>
      <c r="D73" s="60">
        <f t="shared" ref="D73:H73" si="26">D71*D72</f>
        <v>151.72499999999999</v>
      </c>
      <c r="E73" s="60">
        <f t="shared" si="26"/>
        <v>154.7595</v>
      </c>
      <c r="F73" s="60">
        <f t="shared" si="26"/>
        <v>157.85469000000001</v>
      </c>
      <c r="G73" s="60">
        <f t="shared" si="26"/>
        <v>161.01178379999999</v>
      </c>
      <c r="H73" s="60">
        <f t="shared" si="26"/>
        <v>164.232019476</v>
      </c>
    </row>
    <row r="75" spans="1:10" x14ac:dyDescent="0.2">
      <c r="A75" t="s">
        <v>169</v>
      </c>
      <c r="D75" s="73">
        <f>0.15*1.11*1.4</f>
        <v>0.2331</v>
      </c>
      <c r="E75" s="68">
        <f>D75*1.1</f>
        <v>0.25641000000000003</v>
      </c>
      <c r="F75" s="68">
        <f>E75*1.01</f>
        <v>0.25897410000000004</v>
      </c>
      <c r="G75" s="68">
        <f>F75*0.9</f>
        <v>0.23307669000000003</v>
      </c>
      <c r="H75" s="68">
        <f>G75*0.9</f>
        <v>0.20976902100000003</v>
      </c>
      <c r="J75" t="s">
        <v>191</v>
      </c>
    </row>
    <row r="76" spans="1:10" x14ac:dyDescent="0.2">
      <c r="A76" t="s">
        <v>171</v>
      </c>
      <c r="D76" s="66">
        <f>D38*D75</f>
        <v>466.2</v>
      </c>
      <c r="E76" s="66">
        <f>E38*E75</f>
        <v>512.82000000000005</v>
      </c>
      <c r="F76" s="66">
        <f>F38*F75</f>
        <v>517.94820000000004</v>
      </c>
      <c r="G76" s="66">
        <f>G38*G75</f>
        <v>466.15338000000008</v>
      </c>
      <c r="H76" s="66">
        <f>H38*H75</f>
        <v>419.53804200000008</v>
      </c>
    </row>
    <row r="77" spans="1:10" x14ac:dyDescent="0.2">
      <c r="A77" t="s">
        <v>124</v>
      </c>
      <c r="D77" s="22">
        <v>0.32</v>
      </c>
      <c r="E77" s="22">
        <v>0.32</v>
      </c>
      <c r="F77" s="22">
        <v>0.32</v>
      </c>
      <c r="G77" s="22">
        <v>0.32</v>
      </c>
      <c r="H77" s="22">
        <v>0.32</v>
      </c>
    </row>
    <row r="78" spans="1:10" x14ac:dyDescent="0.2">
      <c r="A78" t="s">
        <v>125</v>
      </c>
      <c r="D78" s="60">
        <f t="shared" ref="D78:H78" si="27">D76*D77</f>
        <v>149.184</v>
      </c>
      <c r="E78" s="60">
        <f t="shared" si="27"/>
        <v>164.10240000000002</v>
      </c>
      <c r="F78" s="60">
        <f t="shared" si="27"/>
        <v>165.743424</v>
      </c>
      <c r="G78" s="60">
        <f t="shared" si="27"/>
        <v>149.16908160000003</v>
      </c>
      <c r="H78" s="60">
        <f t="shared" si="27"/>
        <v>134.25217344000004</v>
      </c>
    </row>
    <row r="80" spans="1:10" x14ac:dyDescent="0.2">
      <c r="A80" s="77" t="s">
        <v>170</v>
      </c>
      <c r="B80" s="77"/>
      <c r="C80" s="77"/>
      <c r="D80" s="78">
        <f>D55+D62+D67+D71+D76</f>
        <v>2944.1976600000003</v>
      </c>
      <c r="E80" s="78">
        <f t="shared" ref="E80:H80" si="28">E55+E62+E67+E71+E76</f>
        <v>3282.1975520000005</v>
      </c>
      <c r="F80" s="78">
        <f t="shared" si="28"/>
        <v>3401.4187568000007</v>
      </c>
      <c r="G80" s="78">
        <f t="shared" si="28"/>
        <v>3187.6093329600003</v>
      </c>
      <c r="H80" s="78">
        <f t="shared" si="28"/>
        <v>2774.0339296800003</v>
      </c>
    </row>
    <row r="81" spans="1:8" x14ac:dyDescent="0.2">
      <c r="A81" s="77" t="s">
        <v>172</v>
      </c>
      <c r="B81" s="77"/>
      <c r="C81" s="77"/>
      <c r="D81" s="78">
        <f>D57+D64+D69+D73+D78</f>
        <v>813.43765380000002</v>
      </c>
      <c r="E81" s="78">
        <f t="shared" ref="E81:H81" si="29">E57+E64+E69+E73+E78</f>
        <v>911.38390336000009</v>
      </c>
      <c r="F81" s="78">
        <f t="shared" si="29"/>
        <v>948.03065302400012</v>
      </c>
      <c r="G81" s="78">
        <f t="shared" si="29"/>
        <v>912.36245417280008</v>
      </c>
      <c r="H81" s="78">
        <f t="shared" si="29"/>
        <v>824.82457908960009</v>
      </c>
    </row>
    <row r="82" spans="1:8" x14ac:dyDescent="0.2">
      <c r="A82" t="s">
        <v>173</v>
      </c>
      <c r="D82" s="47">
        <f>D81/D80</f>
        <v>0.27628500112319221</v>
      </c>
      <c r="E82" s="47">
        <f t="shared" ref="E82:H82" si="30">E81/E80</f>
        <v>0.2776749080215023</v>
      </c>
      <c r="F82" s="47">
        <f t="shared" si="30"/>
        <v>0.27871624190015698</v>
      </c>
      <c r="G82" s="47">
        <f t="shared" si="30"/>
        <v>0.28622154061946614</v>
      </c>
      <c r="H82" s="47">
        <f t="shared" si="30"/>
        <v>0.2973375957174208</v>
      </c>
    </row>
    <row r="84" spans="1:8" x14ac:dyDescent="0.2">
      <c r="A84" t="s">
        <v>176</v>
      </c>
      <c r="D84" s="66">
        <f>D80/D38</f>
        <v>1.4720988300000002</v>
      </c>
      <c r="E84" s="66">
        <f t="shared" ref="E84:H84" si="31">E80/E38</f>
        <v>1.6410987760000002</v>
      </c>
      <c r="F84" s="66">
        <f t="shared" si="31"/>
        <v>1.7007093784000002</v>
      </c>
      <c r="G84" s="66">
        <f t="shared" si="31"/>
        <v>1.5938046664800001</v>
      </c>
      <c r="H84" s="66">
        <f t="shared" si="31"/>
        <v>1.3870169648400001</v>
      </c>
    </row>
    <row r="85" spans="1:8" x14ac:dyDescent="0.2">
      <c r="A85" s="53"/>
      <c r="B85" s="53"/>
      <c r="C85" s="53"/>
      <c r="D85" s="53"/>
      <c r="E85" s="53"/>
      <c r="F85" s="53"/>
      <c r="G85" s="53"/>
      <c r="H85" s="53"/>
    </row>
    <row r="86" spans="1:8" x14ac:dyDescent="0.2">
      <c r="A86" t="s">
        <v>145</v>
      </c>
    </row>
    <row r="87" spans="1:8" x14ac:dyDescent="0.2">
      <c r="A87" s="65" t="s">
        <v>323</v>
      </c>
    </row>
    <row r="88" spans="1:8" x14ac:dyDescent="0.2">
      <c r="C88">
        <v>20</v>
      </c>
      <c r="D88">
        <v>21</v>
      </c>
      <c r="E88">
        <v>22</v>
      </c>
      <c r="F88">
        <v>23</v>
      </c>
      <c r="G88">
        <v>24</v>
      </c>
      <c r="H88">
        <v>25</v>
      </c>
    </row>
    <row r="89" spans="1:8" x14ac:dyDescent="0.2">
      <c r="A89" t="s">
        <v>86</v>
      </c>
      <c r="C89" s="64"/>
      <c r="D89" s="90">
        <v>2000</v>
      </c>
      <c r="E89" s="90">
        <v>2000</v>
      </c>
      <c r="F89" s="90">
        <v>2000</v>
      </c>
      <c r="G89" s="90">
        <v>2000</v>
      </c>
      <c r="H89" s="90">
        <v>2000</v>
      </c>
    </row>
    <row r="91" spans="1:8" x14ac:dyDescent="0.2">
      <c r="A91" t="s">
        <v>88</v>
      </c>
      <c r="C91">
        <v>14.4</v>
      </c>
      <c r="D91" s="2">
        <f>C91*1.15</f>
        <v>16.559999999999999</v>
      </c>
      <c r="E91" s="2">
        <f>D91*1.1</f>
        <v>18.216000000000001</v>
      </c>
      <c r="F91" s="2">
        <f>E91*1.1</f>
        <v>20.037600000000001</v>
      </c>
      <c r="G91" s="2">
        <f>F91*0.9</f>
        <v>18.033840000000001</v>
      </c>
      <c r="H91" s="2">
        <f>G91*0.8</f>
        <v>14.427072000000003</v>
      </c>
    </row>
    <row r="92" spans="1:8" x14ac:dyDescent="0.2">
      <c r="A92" t="s">
        <v>90</v>
      </c>
      <c r="B92" t="s">
        <v>147</v>
      </c>
      <c r="C92">
        <v>9.6</v>
      </c>
      <c r="D92" s="2">
        <f>C92*1.25</f>
        <v>12</v>
      </c>
      <c r="E92" s="2">
        <f>D92*1.2</f>
        <v>14.399999999999999</v>
      </c>
      <c r="F92" s="2">
        <f>E92*0.9</f>
        <v>12.959999999999999</v>
      </c>
      <c r="G92" s="2">
        <f>F92*0.8</f>
        <v>10.368</v>
      </c>
      <c r="H92" s="2">
        <f>G92*0.8</f>
        <v>8.2944000000000013</v>
      </c>
    </row>
    <row r="93" spans="1:8" x14ac:dyDescent="0.2">
      <c r="A93" t="s">
        <v>92</v>
      </c>
      <c r="C93" s="2">
        <v>16</v>
      </c>
      <c r="D93" s="2">
        <v>15</v>
      </c>
      <c r="E93" s="2">
        <v>15</v>
      </c>
      <c r="F93" s="2">
        <v>15</v>
      </c>
      <c r="G93" s="2">
        <f>F93*0.9</f>
        <v>13.5</v>
      </c>
      <c r="H93" s="2">
        <f>G93*0.8</f>
        <v>10.8</v>
      </c>
    </row>
    <row r="94" spans="1:8" x14ac:dyDescent="0.2">
      <c r="A94" t="s">
        <v>63</v>
      </c>
      <c r="C94" s="2">
        <f>SUM(C91:C93)</f>
        <v>40</v>
      </c>
      <c r="D94" s="2">
        <f t="shared" ref="D94" si="32">SUM(D91:D93)</f>
        <v>43.56</v>
      </c>
      <c r="E94" s="2">
        <f t="shared" ref="E94" si="33">SUM(E91:E93)</f>
        <v>47.616</v>
      </c>
      <c r="F94" s="2">
        <f t="shared" ref="F94" si="34">SUM(F91:F93)</f>
        <v>47.997599999999998</v>
      </c>
      <c r="G94" s="2">
        <f t="shared" ref="G94" si="35">SUM(G91:G93)</f>
        <v>41.90184</v>
      </c>
      <c r="H94" s="2">
        <f t="shared" ref="H94" si="36">SUM(H91:H93)</f>
        <v>33.521472000000003</v>
      </c>
    </row>
    <row r="96" spans="1:8" x14ac:dyDescent="0.2">
      <c r="A96" t="s">
        <v>94</v>
      </c>
      <c r="C96" s="2">
        <f>C91*4</f>
        <v>57.6</v>
      </c>
      <c r="D96" s="2">
        <f>(C91*2)+(D91*4)</f>
        <v>95.039999999999992</v>
      </c>
      <c r="E96" s="2">
        <f>(C91*1)+(D91*2)+(E91*4)</f>
        <v>120.384</v>
      </c>
      <c r="F96" s="2">
        <f>(C91*1)+(D91*1)+(E91*2)+(F91*4)</f>
        <v>147.54239999999999</v>
      </c>
      <c r="G96" s="2">
        <f>(C91*0.5)+(D91*1)+(E91*1)+(F91*2)+(G91*4)</f>
        <v>154.18655999999999</v>
      </c>
      <c r="H96" s="2">
        <f>(D91*0.5)+(E91*1)+(F91*1)+(G91*2)+(H91*4)</f>
        <v>140.30956800000001</v>
      </c>
    </row>
    <row r="97" spans="1:11" x14ac:dyDescent="0.2">
      <c r="A97" t="s">
        <v>95</v>
      </c>
      <c r="B97" t="s">
        <v>147</v>
      </c>
      <c r="C97" s="2">
        <f>C92*3.5</f>
        <v>33.6</v>
      </c>
      <c r="D97" s="2">
        <f>(C92*2)+(D92*3.5)</f>
        <v>61.2</v>
      </c>
      <c r="E97" s="2">
        <f>(C92*1)+(D92*2)+(E92*3.5)</f>
        <v>84</v>
      </c>
      <c r="F97" s="2">
        <f>(C92*1)+(D92*1)+(E92*2)+(F92*3.5)</f>
        <v>95.759999999999991</v>
      </c>
      <c r="G97" s="2">
        <f>(C92*0.5)+(D92*1)+(E92*1)+(F92*2)+(G92*3.5)</f>
        <v>93.408000000000001</v>
      </c>
      <c r="H97" s="2">
        <f>(D92*0.5)+(E92*1)+(F92*1)+(G92*2)+(H92*3.5)</f>
        <v>83.126400000000004</v>
      </c>
    </row>
    <row r="98" spans="1:11" x14ac:dyDescent="0.2">
      <c r="A98" t="s">
        <v>97</v>
      </c>
      <c r="C98" s="2">
        <f>C93*3.3</f>
        <v>52.8</v>
      </c>
      <c r="D98" s="2">
        <f>(C93*2)+(D93*3.3)</f>
        <v>81.5</v>
      </c>
      <c r="E98" s="2">
        <f>(C93*1)+(D93*2)+(E93*3.3)</f>
        <v>95.5</v>
      </c>
      <c r="F98" s="2">
        <f>(C93*1)+(D93*1)+(E93*2)+(F93*3.3)</f>
        <v>110.5</v>
      </c>
      <c r="G98" s="2">
        <f>(C93*0.5)+(D93*1)+(E93*1)+(F93*2)+(G93*3.3)</f>
        <v>112.55</v>
      </c>
      <c r="H98" s="2">
        <f>(D93*0.5)+(E93*1)+(F93*1)+(G93*2)+(H93*3.3)</f>
        <v>100.14</v>
      </c>
    </row>
    <row r="99" spans="1:11" x14ac:dyDescent="0.2">
      <c r="A99" t="s">
        <v>159</v>
      </c>
      <c r="C99" s="2">
        <v>200</v>
      </c>
      <c r="D99" s="2">
        <v>175</v>
      </c>
      <c r="E99" s="2">
        <v>150</v>
      </c>
      <c r="F99" s="2">
        <v>125</v>
      </c>
      <c r="G99" s="2">
        <v>100</v>
      </c>
      <c r="H99" s="2">
        <v>75</v>
      </c>
    </row>
    <row r="100" spans="1:11" x14ac:dyDescent="0.2">
      <c r="A100" t="s">
        <v>14</v>
      </c>
      <c r="C100" s="2">
        <f>SUM(C96:C99)</f>
        <v>344</v>
      </c>
      <c r="D100" s="2">
        <f t="shared" ref="D100" si="37">SUM(D96:D99)</f>
        <v>412.74</v>
      </c>
      <c r="E100" s="2">
        <f t="shared" ref="E100" si="38">SUM(E96:E99)</f>
        <v>449.88400000000001</v>
      </c>
      <c r="F100" s="2">
        <f t="shared" ref="F100" si="39">SUM(F96:F99)</f>
        <v>478.80239999999998</v>
      </c>
      <c r="G100" s="2">
        <f t="shared" ref="G100" si="40">SUM(G96:G99)</f>
        <v>460.14456000000001</v>
      </c>
      <c r="H100" s="2">
        <f t="shared" ref="H100" si="41">SUM(H96:H99)</f>
        <v>398.57596799999999</v>
      </c>
    </row>
    <row r="101" spans="1:11" x14ac:dyDescent="0.2">
      <c r="A101" s="1"/>
      <c r="B101" s="1"/>
      <c r="C101" s="1"/>
      <c r="D101" s="1"/>
      <c r="E101" s="1"/>
      <c r="F101" s="1"/>
      <c r="G101" s="1"/>
      <c r="H101" s="1"/>
    </row>
    <row r="102" spans="1:11" x14ac:dyDescent="0.2">
      <c r="A102" t="s">
        <v>149</v>
      </c>
      <c r="B102" t="s">
        <v>160</v>
      </c>
      <c r="D102" s="42">
        <f>(D104*1000000)/D89</f>
        <v>1306.8</v>
      </c>
      <c r="E102" s="44">
        <f>(E104*1000000)/E89</f>
        <v>1428.48</v>
      </c>
      <c r="F102" s="44">
        <f>(F104*1000000)/F89</f>
        <v>1439.9279999999997</v>
      </c>
      <c r="G102" s="44">
        <f>(G104*1000000)/G89</f>
        <v>1257.0552</v>
      </c>
      <c r="H102" s="44">
        <f>(H104*1000000)/H89</f>
        <v>1005.6441600000002</v>
      </c>
    </row>
    <row r="103" spans="1:11" x14ac:dyDescent="0.2">
      <c r="A103" t="s">
        <v>101</v>
      </c>
      <c r="D103" s="76">
        <v>0.06</v>
      </c>
      <c r="E103" s="76">
        <f>D103</f>
        <v>0.06</v>
      </c>
      <c r="F103" s="76">
        <f t="shared" ref="F103:H103" si="42">E103</f>
        <v>0.06</v>
      </c>
      <c r="G103" s="76">
        <f t="shared" si="42"/>
        <v>0.06</v>
      </c>
      <c r="H103" s="76">
        <f t="shared" si="42"/>
        <v>0.06</v>
      </c>
      <c r="J103" t="s">
        <v>186</v>
      </c>
    </row>
    <row r="104" spans="1:11" x14ac:dyDescent="0.2">
      <c r="A104" t="s">
        <v>104</v>
      </c>
      <c r="D104" s="54">
        <f>D94*D103</f>
        <v>2.6135999999999999</v>
      </c>
      <c r="E104" s="54">
        <f>E94*E103</f>
        <v>2.8569599999999999</v>
      </c>
      <c r="F104" s="54">
        <f>F94*F103</f>
        <v>2.8798559999999997</v>
      </c>
      <c r="G104" s="54">
        <f>G94*G103</f>
        <v>2.5141103999999999</v>
      </c>
      <c r="H104" s="54">
        <f>H94*H103</f>
        <v>2.0112883200000002</v>
      </c>
      <c r="K104" t="s">
        <v>187</v>
      </c>
    </row>
    <row r="105" spans="1:11" x14ac:dyDescent="0.2">
      <c r="A105" t="s">
        <v>107</v>
      </c>
      <c r="D105" s="49">
        <v>400</v>
      </c>
      <c r="E105" s="49">
        <v>400</v>
      </c>
      <c r="F105" s="49">
        <v>400</v>
      </c>
      <c r="G105" s="49">
        <v>400</v>
      </c>
      <c r="H105" s="49">
        <v>400</v>
      </c>
      <c r="K105" t="s">
        <v>315</v>
      </c>
    </row>
    <row r="106" spans="1:11" x14ac:dyDescent="0.2">
      <c r="A106" t="s">
        <v>110</v>
      </c>
      <c r="D106" s="66">
        <f>D104*D105</f>
        <v>1045.44</v>
      </c>
      <c r="E106" s="66">
        <f t="shared" ref="E106" si="43">E104*E105</f>
        <v>1142.7839999999999</v>
      </c>
      <c r="F106" s="66">
        <f t="shared" ref="F106" si="44">F104*F105</f>
        <v>1151.9423999999999</v>
      </c>
      <c r="G106" s="66">
        <f t="shared" ref="G106" si="45">G104*G105</f>
        <v>1005.6441599999999</v>
      </c>
      <c r="H106" s="66">
        <f t="shared" ref="H106" si="46">H104*H105</f>
        <v>804.51532800000007</v>
      </c>
      <c r="K106" t="s">
        <v>316</v>
      </c>
    </row>
    <row r="107" spans="1:11" x14ac:dyDescent="0.2">
      <c r="A107" t="s">
        <v>111</v>
      </c>
      <c r="D107" s="72">
        <v>9.7000000000000003E-2</v>
      </c>
      <c r="E107" s="72">
        <v>9.7000000000000003E-2</v>
      </c>
      <c r="F107" s="72">
        <v>9.7000000000000003E-2</v>
      </c>
      <c r="G107" s="72">
        <v>9.7000000000000003E-2</v>
      </c>
      <c r="H107" s="72">
        <v>9.7000000000000003E-2</v>
      </c>
      <c r="K107" t="s">
        <v>317</v>
      </c>
    </row>
    <row r="108" spans="1:11" x14ac:dyDescent="0.2">
      <c r="A108" t="s">
        <v>112</v>
      </c>
      <c r="D108" s="66">
        <f>D106*D107</f>
        <v>101.40768000000001</v>
      </c>
      <c r="E108" s="66">
        <f t="shared" ref="E108" si="47">E106*E107</f>
        <v>110.85004799999999</v>
      </c>
      <c r="F108" s="66">
        <f t="shared" ref="F108" si="48">F106*F107</f>
        <v>111.73841279999999</v>
      </c>
      <c r="G108" s="66">
        <f t="shared" ref="G108" si="49">G106*G107</f>
        <v>97.54748352</v>
      </c>
      <c r="H108" s="66">
        <f t="shared" ref="H108" si="50">H106*H107</f>
        <v>78.037986816000014</v>
      </c>
    </row>
    <row r="110" spans="1:11" x14ac:dyDescent="0.2">
      <c r="A110" t="s">
        <v>158</v>
      </c>
      <c r="D110" s="67">
        <f>D103*0.8</f>
        <v>4.8000000000000001E-2</v>
      </c>
      <c r="E110" s="67">
        <f t="shared" ref="E110:H110" si="51">E103*0.8</f>
        <v>4.8000000000000001E-2</v>
      </c>
      <c r="F110" s="67">
        <f t="shared" si="51"/>
        <v>4.8000000000000001E-2</v>
      </c>
      <c r="G110" s="67">
        <f t="shared" si="51"/>
        <v>4.8000000000000001E-2</v>
      </c>
      <c r="H110" s="67">
        <f t="shared" si="51"/>
        <v>4.8000000000000001E-2</v>
      </c>
    </row>
    <row r="111" spans="1:11" x14ac:dyDescent="0.2">
      <c r="A111" t="s">
        <v>114</v>
      </c>
      <c r="D111" s="19">
        <f>D100*D110</f>
        <v>19.811520000000002</v>
      </c>
      <c r="E111" s="19">
        <f>E100*E110</f>
        <v>21.594432000000001</v>
      </c>
      <c r="F111" s="19">
        <f>F100*F110</f>
        <v>22.982515199999998</v>
      </c>
      <c r="G111" s="19">
        <f>G100*G110</f>
        <v>22.086938880000002</v>
      </c>
      <c r="H111" s="19">
        <f>H100*H110</f>
        <v>19.131646463999999</v>
      </c>
    </row>
    <row r="112" spans="1:11" x14ac:dyDescent="0.2">
      <c r="A112" t="s">
        <v>116</v>
      </c>
      <c r="D112" s="49">
        <v>55</v>
      </c>
      <c r="E112" s="49">
        <v>55</v>
      </c>
      <c r="F112" s="49">
        <v>55</v>
      </c>
      <c r="G112" s="49">
        <v>55</v>
      </c>
      <c r="H112" s="49">
        <v>55</v>
      </c>
    </row>
    <row r="113" spans="1:10" x14ac:dyDescent="0.2">
      <c r="A113" t="s">
        <v>161</v>
      </c>
      <c r="C113">
        <v>600</v>
      </c>
      <c r="D113" s="66">
        <f>D111*D112</f>
        <v>1089.6336000000001</v>
      </c>
      <c r="E113" s="66">
        <f t="shared" ref="E113" si="52">E111*E112</f>
        <v>1187.6937600000001</v>
      </c>
      <c r="F113" s="66">
        <f t="shared" ref="F113" si="53">F111*F112</f>
        <v>1264.0383359999998</v>
      </c>
      <c r="G113" s="66">
        <f t="shared" ref="G113" si="54">G111*G112</f>
        <v>1214.7816384</v>
      </c>
      <c r="H113" s="66">
        <f t="shared" ref="H113" si="55">H111*H112</f>
        <v>1052.24055552</v>
      </c>
    </row>
    <row r="114" spans="1:10" x14ac:dyDescent="0.2">
      <c r="A114" t="s">
        <v>162</v>
      </c>
      <c r="D114" s="72">
        <v>0.22500000000000001</v>
      </c>
      <c r="E114" s="72">
        <v>0.22500000000000001</v>
      </c>
      <c r="F114" s="72">
        <v>0.22500000000000001</v>
      </c>
      <c r="G114" s="72">
        <v>0.22500000000000001</v>
      </c>
      <c r="H114" s="72">
        <v>0.22500000000000001</v>
      </c>
    </row>
    <row r="115" spans="1:10" x14ac:dyDescent="0.2">
      <c r="A115" t="s">
        <v>163</v>
      </c>
      <c r="D115" s="66">
        <f>D113*D114</f>
        <v>245.16756000000004</v>
      </c>
      <c r="E115" s="66">
        <f t="shared" ref="E115" si="56">E113*E114</f>
        <v>267.23109600000004</v>
      </c>
      <c r="F115" s="66">
        <f t="shared" ref="F115" si="57">F113*F114</f>
        <v>284.40862559999999</v>
      </c>
      <c r="G115" s="66">
        <f t="shared" ref="G115" si="58">G113*G114</f>
        <v>273.32586864000001</v>
      </c>
      <c r="H115" s="66">
        <f t="shared" ref="H115" si="59">H113*H114</f>
        <v>236.75412499200002</v>
      </c>
    </row>
    <row r="117" spans="1:10" x14ac:dyDescent="0.2">
      <c r="A117" t="s">
        <v>164</v>
      </c>
      <c r="D117" s="55">
        <v>0.34499999999999997</v>
      </c>
      <c r="E117" s="55">
        <f t="shared" ref="E117" si="60">D117-0.5%</f>
        <v>0.33999999999999997</v>
      </c>
      <c r="F117" s="55">
        <f t="shared" ref="F117" si="61">E117-0.5%</f>
        <v>0.33499999999999996</v>
      </c>
      <c r="G117" s="55">
        <f t="shared" ref="G117" si="62">F117-0.5%</f>
        <v>0.32999999999999996</v>
      </c>
      <c r="H117" s="55">
        <f t="shared" ref="H117" si="63">G117-0.5%</f>
        <v>0.32499999999999996</v>
      </c>
    </row>
    <row r="118" spans="1:10" x14ac:dyDescent="0.2">
      <c r="A118" t="s">
        <v>119</v>
      </c>
      <c r="D118" s="60">
        <f>D117*(C113+D113)</f>
        <v>582.92359199999999</v>
      </c>
      <c r="E118" s="60">
        <f t="shared" ref="E118" si="64">E117*(D113+E113)</f>
        <v>774.29130239999995</v>
      </c>
      <c r="F118" s="60">
        <f t="shared" ref="F118" si="65">F117*(E113+F113)</f>
        <v>821.33025215999987</v>
      </c>
      <c r="G118" s="60">
        <f t="shared" ref="G118" si="66">G117*(F113+G113)</f>
        <v>818.01059155199982</v>
      </c>
      <c r="H118" s="60">
        <f t="shared" ref="H118" si="67">H117*(G113+H113)</f>
        <v>736.78221302399993</v>
      </c>
    </row>
    <row r="119" spans="1:10" x14ac:dyDescent="0.2">
      <c r="A119" t="s">
        <v>120</v>
      </c>
      <c r="D119" s="22">
        <v>0.43</v>
      </c>
      <c r="E119" s="22">
        <v>0.43</v>
      </c>
      <c r="F119" s="22">
        <v>0.43</v>
      </c>
      <c r="G119" s="22">
        <v>0.43</v>
      </c>
      <c r="H119" s="22">
        <v>0.43</v>
      </c>
    </row>
    <row r="120" spans="1:10" x14ac:dyDescent="0.2">
      <c r="A120" t="s">
        <v>122</v>
      </c>
      <c r="D120" s="60">
        <f t="shared" ref="D120:H120" si="68">D118*D119</f>
        <v>250.65714455999998</v>
      </c>
      <c r="E120" s="60">
        <f t="shared" si="68"/>
        <v>332.94526003199996</v>
      </c>
      <c r="F120" s="60">
        <f t="shared" si="68"/>
        <v>353.17200842879993</v>
      </c>
      <c r="G120" s="60">
        <f t="shared" si="68"/>
        <v>351.74455436735991</v>
      </c>
      <c r="H120" s="60">
        <f t="shared" si="68"/>
        <v>316.81635160031999</v>
      </c>
    </row>
    <row r="122" spans="1:10" x14ac:dyDescent="0.2">
      <c r="A122" t="s">
        <v>165</v>
      </c>
      <c r="D122" s="46">
        <v>178.5</v>
      </c>
      <c r="E122" s="46">
        <f t="shared" ref="E122" si="69">D122*1.02</f>
        <v>182.07</v>
      </c>
      <c r="F122" s="46">
        <f t="shared" ref="F122" si="70">E122*1.02</f>
        <v>185.7114</v>
      </c>
      <c r="G122" s="46">
        <f t="shared" ref="G122" si="71">F122*1.02</f>
        <v>189.42562799999999</v>
      </c>
      <c r="H122" s="46">
        <f t="shared" ref="H122" si="72">G122*1.02</f>
        <v>193.21414056</v>
      </c>
    </row>
    <row r="123" spans="1:10" x14ac:dyDescent="0.2">
      <c r="A123" t="s">
        <v>166</v>
      </c>
      <c r="D123" s="22">
        <v>0.85</v>
      </c>
      <c r="E123" s="22">
        <v>0.85</v>
      </c>
      <c r="F123" s="22">
        <v>0.85</v>
      </c>
      <c r="G123" s="22">
        <v>0.85</v>
      </c>
      <c r="H123" s="22">
        <v>0.85</v>
      </c>
    </row>
    <row r="124" spans="1:10" x14ac:dyDescent="0.2">
      <c r="A124" t="s">
        <v>167</v>
      </c>
      <c r="D124" s="60">
        <f t="shared" ref="D124:H124" si="73">D122*D123</f>
        <v>151.72499999999999</v>
      </c>
      <c r="E124" s="60">
        <f t="shared" si="73"/>
        <v>154.7595</v>
      </c>
      <c r="F124" s="60">
        <f t="shared" si="73"/>
        <v>157.85469000000001</v>
      </c>
      <c r="G124" s="60">
        <f t="shared" si="73"/>
        <v>161.01178379999999</v>
      </c>
      <c r="H124" s="60">
        <f t="shared" si="73"/>
        <v>164.232019476</v>
      </c>
    </row>
    <row r="126" spans="1:10" x14ac:dyDescent="0.2">
      <c r="A126" t="s">
        <v>169</v>
      </c>
      <c r="D126" s="73">
        <f>0.15*1.11*1.4*1.1</f>
        <v>0.25641000000000003</v>
      </c>
      <c r="E126" s="68">
        <f>D126*1.1</f>
        <v>0.28205100000000005</v>
      </c>
      <c r="F126" s="68">
        <f>E126*1.01</f>
        <v>0.28487151000000005</v>
      </c>
      <c r="G126" s="68">
        <f>F126*0.9</f>
        <v>0.25638435900000006</v>
      </c>
      <c r="H126" s="68">
        <f>G126*0.9</f>
        <v>0.23074592310000006</v>
      </c>
      <c r="J126" t="s">
        <v>325</v>
      </c>
    </row>
    <row r="127" spans="1:10" x14ac:dyDescent="0.2">
      <c r="A127" t="s">
        <v>171</v>
      </c>
      <c r="D127" s="66">
        <f>D89*D126</f>
        <v>512.82000000000005</v>
      </c>
      <c r="E127" s="66">
        <f>E89*E126</f>
        <v>564.10200000000009</v>
      </c>
      <c r="F127" s="66">
        <f>F89*F126</f>
        <v>569.74302000000012</v>
      </c>
      <c r="G127" s="66">
        <f>G89*G126</f>
        <v>512.76871800000015</v>
      </c>
      <c r="H127" s="66">
        <f>H89*H126</f>
        <v>461.49184620000011</v>
      </c>
    </row>
    <row r="128" spans="1:10" x14ac:dyDescent="0.2">
      <c r="A128" t="s">
        <v>124</v>
      </c>
      <c r="D128" s="22">
        <v>0.32</v>
      </c>
      <c r="E128" s="22">
        <v>0.32</v>
      </c>
      <c r="F128" s="22">
        <v>0.32</v>
      </c>
      <c r="G128" s="22">
        <v>0.32</v>
      </c>
      <c r="H128" s="22">
        <v>0.32</v>
      </c>
    </row>
    <row r="129" spans="1:8" x14ac:dyDescent="0.2">
      <c r="A129" t="s">
        <v>125</v>
      </c>
      <c r="D129" s="60">
        <f t="shared" ref="D129:H129" si="74">D127*D128</f>
        <v>164.10240000000002</v>
      </c>
      <c r="E129" s="60">
        <f t="shared" si="74"/>
        <v>180.51264000000003</v>
      </c>
      <c r="F129" s="60">
        <f t="shared" si="74"/>
        <v>182.31776640000004</v>
      </c>
      <c r="G129" s="60">
        <f t="shared" si="74"/>
        <v>164.08598976000005</v>
      </c>
      <c r="H129" s="60">
        <f t="shared" si="74"/>
        <v>147.67739078400004</v>
      </c>
    </row>
    <row r="131" spans="1:8" x14ac:dyDescent="0.2">
      <c r="A131" s="74" t="s">
        <v>170</v>
      </c>
      <c r="B131" s="74"/>
      <c r="C131" s="74"/>
      <c r="D131" s="75">
        <f>D106+D113+D118+D122+D127</f>
        <v>3409.3171920000004</v>
      </c>
      <c r="E131" s="75">
        <f t="shared" ref="E131:H131" si="75">E106+E113+E118+E122+E127</f>
        <v>3850.9410624000002</v>
      </c>
      <c r="F131" s="75">
        <f t="shared" si="75"/>
        <v>3992.7654081599994</v>
      </c>
      <c r="G131" s="75">
        <f t="shared" si="75"/>
        <v>3740.6307359520001</v>
      </c>
      <c r="H131" s="75">
        <f t="shared" si="75"/>
        <v>3248.244083304</v>
      </c>
    </row>
    <row r="132" spans="1:8" x14ac:dyDescent="0.2">
      <c r="A132" s="74" t="s">
        <v>172</v>
      </c>
      <c r="B132" s="74"/>
      <c r="C132" s="74"/>
      <c r="D132" s="75">
        <f>D108+D115+D120+D124+D129</f>
        <v>913.05978456000003</v>
      </c>
      <c r="E132" s="75">
        <f t="shared" ref="E132:H132" si="76">E108+E115+E120+E124+E129</f>
        <v>1046.2985440319999</v>
      </c>
      <c r="F132" s="75">
        <f t="shared" si="76"/>
        <v>1089.4915032288</v>
      </c>
      <c r="G132" s="75">
        <f t="shared" si="76"/>
        <v>1047.7156800873599</v>
      </c>
      <c r="H132" s="75">
        <f t="shared" si="76"/>
        <v>943.51787366832002</v>
      </c>
    </row>
    <row r="133" spans="1:8" x14ac:dyDescent="0.2">
      <c r="A133" t="s">
        <v>173</v>
      </c>
      <c r="D133" s="47">
        <f>D132/D131</f>
        <v>0.26781309368999301</v>
      </c>
      <c r="E133" s="47">
        <f t="shared" ref="E133" si="77">E132/E131</f>
        <v>0.27169944361078358</v>
      </c>
      <c r="F133" s="47">
        <f t="shared" ref="F133" si="78">F132/F131</f>
        <v>0.27286639505597055</v>
      </c>
      <c r="G133" s="47">
        <f t="shared" ref="G133" si="79">G132/G131</f>
        <v>0.28009064621576812</v>
      </c>
      <c r="H133" s="47">
        <f t="shared" ref="H133" si="80">H132/H131</f>
        <v>0.2904701276969946</v>
      </c>
    </row>
    <row r="135" spans="1:8" x14ac:dyDescent="0.2">
      <c r="A135" t="s">
        <v>176</v>
      </c>
      <c r="D135" s="66">
        <f>D131/D89</f>
        <v>1.7046585960000002</v>
      </c>
      <c r="E135" s="66">
        <f t="shared" ref="E135:H135" si="81">E131/E89</f>
        <v>1.9254705312</v>
      </c>
      <c r="F135" s="66">
        <f t="shared" si="81"/>
        <v>1.9963827040799997</v>
      </c>
      <c r="G135" s="66">
        <f t="shared" si="81"/>
        <v>1.8703153679760001</v>
      </c>
      <c r="H135" s="66">
        <f t="shared" si="81"/>
        <v>1.6241220416519999</v>
      </c>
    </row>
    <row r="136" spans="1:8" x14ac:dyDescent="0.2">
      <c r="A136" s="53"/>
      <c r="B136" s="53"/>
      <c r="C136" s="53"/>
      <c r="D136" s="99"/>
      <c r="E136" s="99"/>
      <c r="F136" s="99"/>
      <c r="G136" s="99"/>
      <c r="H136" s="99"/>
    </row>
    <row r="137" spans="1:8" x14ac:dyDescent="0.2">
      <c r="A137" t="s">
        <v>145</v>
      </c>
    </row>
    <row r="138" spans="1:8" x14ac:dyDescent="0.2">
      <c r="A138" s="40" t="s">
        <v>324</v>
      </c>
    </row>
    <row r="139" spans="1:8" x14ac:dyDescent="0.2">
      <c r="A139" s="1"/>
      <c r="C139">
        <v>20</v>
      </c>
      <c r="D139">
        <v>21</v>
      </c>
      <c r="E139">
        <v>22</v>
      </c>
      <c r="F139">
        <v>23</v>
      </c>
      <c r="G139">
        <v>24</v>
      </c>
      <c r="H139">
        <v>25</v>
      </c>
    </row>
    <row r="140" spans="1:8" x14ac:dyDescent="0.2">
      <c r="A140" t="s">
        <v>86</v>
      </c>
      <c r="C140" s="64"/>
      <c r="D140" s="90">
        <v>2000</v>
      </c>
      <c r="E140" s="90">
        <v>2000</v>
      </c>
      <c r="F140" s="90">
        <v>2000</v>
      </c>
      <c r="G140" s="90">
        <v>2000</v>
      </c>
      <c r="H140" s="90">
        <v>2000</v>
      </c>
    </row>
    <row r="142" spans="1:8" x14ac:dyDescent="0.2">
      <c r="A142" t="s">
        <v>88</v>
      </c>
      <c r="C142">
        <v>14.4</v>
      </c>
      <c r="D142" s="2">
        <f>C142*1.15</f>
        <v>16.559999999999999</v>
      </c>
      <c r="E142" s="2">
        <f>D142*1.1</f>
        <v>18.216000000000001</v>
      </c>
      <c r="F142" s="2">
        <f>E142*1.1</f>
        <v>20.037600000000001</v>
      </c>
      <c r="G142" s="2">
        <f>F142*0.9</f>
        <v>18.033840000000001</v>
      </c>
      <c r="H142" s="2">
        <f>G142*0.8</f>
        <v>14.427072000000003</v>
      </c>
    </row>
    <row r="143" spans="1:8" x14ac:dyDescent="0.2">
      <c r="A143" t="s">
        <v>90</v>
      </c>
      <c r="B143" t="s">
        <v>147</v>
      </c>
      <c r="C143">
        <v>9.6</v>
      </c>
      <c r="D143" s="2">
        <f>C143*1.25</f>
        <v>12</v>
      </c>
      <c r="E143" s="2">
        <f>D143*1.2</f>
        <v>14.399999999999999</v>
      </c>
      <c r="F143" s="2">
        <f>E143*0.9</f>
        <v>12.959999999999999</v>
      </c>
      <c r="G143" s="2">
        <f>F143*0.8</f>
        <v>10.368</v>
      </c>
      <c r="H143" s="2">
        <f>G143*0.8</f>
        <v>8.2944000000000013</v>
      </c>
    </row>
    <row r="144" spans="1:8" x14ac:dyDescent="0.2">
      <c r="A144" t="s">
        <v>92</v>
      </c>
      <c r="C144" s="2">
        <v>16</v>
      </c>
      <c r="D144" s="2">
        <v>15</v>
      </c>
      <c r="E144" s="2">
        <v>15</v>
      </c>
      <c r="F144" s="2">
        <v>15</v>
      </c>
      <c r="G144" s="2">
        <f>F144*0.9</f>
        <v>13.5</v>
      </c>
      <c r="H144" s="2">
        <f>G144*0.8</f>
        <v>10.8</v>
      </c>
    </row>
    <row r="145" spans="1:11" x14ac:dyDescent="0.2">
      <c r="A145" t="s">
        <v>63</v>
      </c>
      <c r="C145" s="2">
        <f>SUM(C142:C144)</f>
        <v>40</v>
      </c>
      <c r="D145" s="2">
        <f t="shared" ref="D145" si="82">SUM(D142:D144)</f>
        <v>43.56</v>
      </c>
      <c r="E145" s="2">
        <f t="shared" ref="E145" si="83">SUM(E142:E144)</f>
        <v>47.616</v>
      </c>
      <c r="F145" s="2">
        <f t="shared" ref="F145" si="84">SUM(F142:F144)</f>
        <v>47.997599999999998</v>
      </c>
      <c r="G145" s="2">
        <f t="shared" ref="G145" si="85">SUM(G142:G144)</f>
        <v>41.90184</v>
      </c>
      <c r="H145" s="2">
        <f t="shared" ref="H145" si="86">SUM(H142:H144)</f>
        <v>33.521472000000003</v>
      </c>
    </row>
    <row r="147" spans="1:11" x14ac:dyDescent="0.2">
      <c r="A147" t="s">
        <v>94</v>
      </c>
      <c r="C147" s="2">
        <f>C142*4</f>
        <v>57.6</v>
      </c>
      <c r="D147" s="2">
        <f>(C142*2)+(D142*4)</f>
        <v>95.039999999999992</v>
      </c>
      <c r="E147" s="2">
        <f>(C142*1)+(D142*2)+(E142*4)</f>
        <v>120.384</v>
      </c>
      <c r="F147" s="2">
        <f>(C142*1)+(D142*1)+(E142*2)+(F142*4)</f>
        <v>147.54239999999999</v>
      </c>
      <c r="G147" s="2">
        <f>(C142*0.5)+(D142*1)+(E142*1)+(F142*2)+(G142*4)</f>
        <v>154.18655999999999</v>
      </c>
      <c r="H147" s="2">
        <f>(D142*0.5)+(E142*1)+(F142*1)+(G142*2)+(H142*4)</f>
        <v>140.30956800000001</v>
      </c>
    </row>
    <row r="148" spans="1:11" x14ac:dyDescent="0.2">
      <c r="A148" t="s">
        <v>95</v>
      </c>
      <c r="B148" t="s">
        <v>147</v>
      </c>
      <c r="C148" s="2">
        <f>C143*3.5</f>
        <v>33.6</v>
      </c>
      <c r="D148" s="2">
        <f>(C143*2)+(D143*3.5)</f>
        <v>61.2</v>
      </c>
      <c r="E148" s="2">
        <f>(C143*1)+(D143*2)+(E143*3.5)</f>
        <v>84</v>
      </c>
      <c r="F148" s="2">
        <f>(C143*1)+(D143*1)+(E143*2)+(F143*3.5)</f>
        <v>95.759999999999991</v>
      </c>
      <c r="G148" s="2">
        <f>(C143*0.5)+(D143*1)+(E143*1)+(F143*2)+(G143*3.5)</f>
        <v>93.408000000000001</v>
      </c>
      <c r="H148" s="2">
        <f>(D143*0.5)+(E143*1)+(F143*1)+(G143*2)+(H143*3.5)</f>
        <v>83.126400000000004</v>
      </c>
    </row>
    <row r="149" spans="1:11" x14ac:dyDescent="0.2">
      <c r="A149" t="s">
        <v>97</v>
      </c>
      <c r="C149" s="2">
        <f>C144*3.3</f>
        <v>52.8</v>
      </c>
      <c r="D149" s="2">
        <f>(C144*2)+(D144*3.3)</f>
        <v>81.5</v>
      </c>
      <c r="E149" s="2">
        <f>(C144*1)+(D144*2)+(E144*3.3)</f>
        <v>95.5</v>
      </c>
      <c r="F149" s="2">
        <f>(C144*1)+(D144*1)+(E144*2)+(F144*3.3)</f>
        <v>110.5</v>
      </c>
      <c r="G149" s="2">
        <f>(C144*0.5)+(D144*1)+(E144*1)+(F144*2)+(G144*3.3)</f>
        <v>112.55</v>
      </c>
      <c r="H149" s="2">
        <f>(D144*0.5)+(E144*1)+(F144*1)+(G144*2)+(H144*3.3)</f>
        <v>100.14</v>
      </c>
    </row>
    <row r="150" spans="1:11" x14ac:dyDescent="0.2">
      <c r="A150" t="s">
        <v>159</v>
      </c>
      <c r="C150" s="2">
        <v>200</v>
      </c>
      <c r="D150" s="2">
        <v>175</v>
      </c>
      <c r="E150" s="2">
        <v>150</v>
      </c>
      <c r="F150" s="2">
        <v>125</v>
      </c>
      <c r="G150" s="2">
        <v>100</v>
      </c>
      <c r="H150" s="2">
        <v>75</v>
      </c>
    </row>
    <row r="151" spans="1:11" x14ac:dyDescent="0.2">
      <c r="A151" t="s">
        <v>14</v>
      </c>
      <c r="C151" s="2">
        <f>SUM(C147:C150)</f>
        <v>344</v>
      </c>
      <c r="D151" s="2">
        <f t="shared" ref="D151" si="87">SUM(D147:D150)</f>
        <v>412.74</v>
      </c>
      <c r="E151" s="2">
        <f t="shared" ref="E151" si="88">SUM(E147:E150)</f>
        <v>449.88400000000001</v>
      </c>
      <c r="F151" s="2">
        <f t="shared" ref="F151" si="89">SUM(F147:F150)</f>
        <v>478.80239999999998</v>
      </c>
      <c r="G151" s="2">
        <f t="shared" ref="G151" si="90">SUM(G147:G150)</f>
        <v>460.14456000000001</v>
      </c>
      <c r="H151" s="2">
        <f t="shared" ref="H151" si="91">SUM(H147:H150)</f>
        <v>398.57596799999999</v>
      </c>
    </row>
    <row r="152" spans="1:11" x14ac:dyDescent="0.2">
      <c r="A152" s="1"/>
      <c r="B152" s="1"/>
      <c r="C152" s="1"/>
      <c r="D152" s="1"/>
      <c r="E152" s="1"/>
      <c r="F152" s="1"/>
      <c r="G152" s="1"/>
      <c r="H152" s="1"/>
    </row>
    <row r="153" spans="1:11" x14ac:dyDescent="0.2">
      <c r="A153" t="s">
        <v>149</v>
      </c>
      <c r="B153" t="s">
        <v>160</v>
      </c>
      <c r="D153" s="42">
        <f>(D155*1000000)/D140</f>
        <v>1524.6000000000001</v>
      </c>
      <c r="E153" s="44">
        <f>(E155*1000000)/E140</f>
        <v>1666.56</v>
      </c>
      <c r="F153" s="44">
        <f>(F155*1000000)/F140</f>
        <v>1679.9160000000002</v>
      </c>
      <c r="G153" s="44">
        <f>(G155*1000000)/G140</f>
        <v>1466.5644000000002</v>
      </c>
      <c r="H153" s="44">
        <f>(H155*1000000)/H140</f>
        <v>1173.2515200000003</v>
      </c>
    </row>
    <row r="154" spans="1:11" x14ac:dyDescent="0.2">
      <c r="A154" t="s">
        <v>101</v>
      </c>
      <c r="D154" s="82">
        <v>7.0000000000000007E-2</v>
      </c>
      <c r="E154" s="82">
        <f>D154</f>
        <v>7.0000000000000007E-2</v>
      </c>
      <c r="F154" s="82">
        <f t="shared" ref="F154:H154" si="92">E154</f>
        <v>7.0000000000000007E-2</v>
      </c>
      <c r="G154" s="82">
        <f t="shared" si="92"/>
        <v>7.0000000000000007E-2</v>
      </c>
      <c r="H154" s="82">
        <f t="shared" si="92"/>
        <v>7.0000000000000007E-2</v>
      </c>
      <c r="J154" t="s">
        <v>186</v>
      </c>
    </row>
    <row r="155" spans="1:11" x14ac:dyDescent="0.2">
      <c r="A155" t="s">
        <v>104</v>
      </c>
      <c r="D155" s="54">
        <f>D145*D154</f>
        <v>3.0492000000000004</v>
      </c>
      <c r="E155" s="54">
        <f>E145*E154</f>
        <v>3.3331200000000001</v>
      </c>
      <c r="F155" s="54">
        <f>F145*F154</f>
        <v>3.3598320000000004</v>
      </c>
      <c r="G155" s="54">
        <f>G145*G154</f>
        <v>2.9331288000000004</v>
      </c>
      <c r="H155" s="54">
        <f>H145*H154</f>
        <v>2.3465030400000004</v>
      </c>
      <c r="K155" t="s">
        <v>187</v>
      </c>
    </row>
    <row r="156" spans="1:11" x14ac:dyDescent="0.2">
      <c r="A156" t="s">
        <v>107</v>
      </c>
      <c r="D156" s="49">
        <v>400</v>
      </c>
      <c r="E156" s="49">
        <v>400</v>
      </c>
      <c r="F156" s="49">
        <v>400</v>
      </c>
      <c r="G156" s="49">
        <v>400</v>
      </c>
      <c r="H156" s="49">
        <v>400</v>
      </c>
      <c r="K156" t="s">
        <v>315</v>
      </c>
    </row>
    <row r="157" spans="1:11" x14ac:dyDescent="0.2">
      <c r="A157" t="s">
        <v>110</v>
      </c>
      <c r="D157" s="66">
        <f>D155*D156</f>
        <v>1219.68</v>
      </c>
      <c r="E157" s="66">
        <f t="shared" ref="E157" si="93">E155*E156</f>
        <v>1333.248</v>
      </c>
      <c r="F157" s="66">
        <f t="shared" ref="F157" si="94">F155*F156</f>
        <v>1343.9328</v>
      </c>
      <c r="G157" s="66">
        <f t="shared" ref="G157" si="95">G155*G156</f>
        <v>1173.2515200000003</v>
      </c>
      <c r="H157" s="66">
        <f t="shared" ref="H157" si="96">H155*H156</f>
        <v>938.60121600000014</v>
      </c>
      <c r="K157" t="s">
        <v>316</v>
      </c>
    </row>
    <row r="158" spans="1:11" x14ac:dyDescent="0.2">
      <c r="A158" t="s">
        <v>111</v>
      </c>
      <c r="D158" s="72">
        <v>9.7000000000000003E-2</v>
      </c>
      <c r="E158" s="72">
        <v>9.7000000000000003E-2</v>
      </c>
      <c r="F158" s="72">
        <v>9.7000000000000003E-2</v>
      </c>
      <c r="G158" s="72">
        <v>9.7000000000000003E-2</v>
      </c>
      <c r="H158" s="72">
        <v>9.7000000000000003E-2</v>
      </c>
      <c r="K158" t="s">
        <v>317</v>
      </c>
    </row>
    <row r="159" spans="1:11" x14ac:dyDescent="0.2">
      <c r="A159" t="s">
        <v>112</v>
      </c>
      <c r="D159" s="66">
        <f>D157*D158</f>
        <v>118.30896000000001</v>
      </c>
      <c r="E159" s="66">
        <f t="shared" ref="E159" si="97">E157*E158</f>
        <v>129.32505600000002</v>
      </c>
      <c r="F159" s="66">
        <f t="shared" ref="F159" si="98">F157*F158</f>
        <v>130.36148160000002</v>
      </c>
      <c r="G159" s="66">
        <f t="shared" ref="G159" si="99">G157*G158</f>
        <v>113.80539744000002</v>
      </c>
      <c r="H159" s="66">
        <f t="shared" ref="H159" si="100">H157*H158</f>
        <v>91.044317952000014</v>
      </c>
    </row>
    <row r="161" spans="1:8" x14ac:dyDescent="0.2">
      <c r="A161" t="s">
        <v>158</v>
      </c>
      <c r="D161" s="67">
        <f>D154*0.8</f>
        <v>5.6000000000000008E-2</v>
      </c>
      <c r="E161" s="67">
        <f t="shared" ref="E161:H161" si="101">E154*0.8</f>
        <v>5.6000000000000008E-2</v>
      </c>
      <c r="F161" s="67">
        <f t="shared" si="101"/>
        <v>5.6000000000000008E-2</v>
      </c>
      <c r="G161" s="67">
        <f t="shared" si="101"/>
        <v>5.6000000000000008E-2</v>
      </c>
      <c r="H161" s="67">
        <f t="shared" si="101"/>
        <v>5.6000000000000008E-2</v>
      </c>
    </row>
    <row r="162" spans="1:8" x14ac:dyDescent="0.2">
      <c r="A162" t="s">
        <v>114</v>
      </c>
      <c r="D162" s="19">
        <f>D151*D161</f>
        <v>23.113440000000004</v>
      </c>
      <c r="E162" s="19">
        <f>E151*E161</f>
        <v>25.193504000000004</v>
      </c>
      <c r="F162" s="19">
        <f>F151*F161</f>
        <v>26.812934400000003</v>
      </c>
      <c r="G162" s="19">
        <f>G151*G161</f>
        <v>25.768095360000004</v>
      </c>
      <c r="H162" s="19">
        <f>H151*H161</f>
        <v>22.320254208000001</v>
      </c>
    </row>
    <row r="163" spans="1:8" x14ac:dyDescent="0.2">
      <c r="A163" t="s">
        <v>116</v>
      </c>
      <c r="D163" s="49">
        <v>55</v>
      </c>
      <c r="E163" s="49">
        <v>55</v>
      </c>
      <c r="F163" s="49">
        <v>55</v>
      </c>
      <c r="G163" s="49">
        <v>55</v>
      </c>
      <c r="H163" s="49">
        <v>55</v>
      </c>
    </row>
    <row r="164" spans="1:8" x14ac:dyDescent="0.2">
      <c r="A164" t="s">
        <v>161</v>
      </c>
      <c r="C164">
        <v>600</v>
      </c>
      <c r="D164" s="66">
        <f>D162*D163</f>
        <v>1271.2392000000002</v>
      </c>
      <c r="E164" s="66">
        <f t="shared" ref="E164" si="102">E162*E163</f>
        <v>1385.6427200000003</v>
      </c>
      <c r="F164" s="66">
        <f t="shared" ref="F164" si="103">F162*F163</f>
        <v>1474.7113920000002</v>
      </c>
      <c r="G164" s="66">
        <f t="shared" ref="G164" si="104">G162*G163</f>
        <v>1417.2452448000001</v>
      </c>
      <c r="H164" s="66">
        <f t="shared" ref="H164" si="105">H162*H163</f>
        <v>1227.6139814400001</v>
      </c>
    </row>
    <row r="165" spans="1:8" x14ac:dyDescent="0.2">
      <c r="A165" t="s">
        <v>162</v>
      </c>
      <c r="D165" s="72">
        <v>0.22500000000000001</v>
      </c>
      <c r="E165" s="72">
        <v>0.22500000000000001</v>
      </c>
      <c r="F165" s="72">
        <v>0.22500000000000001</v>
      </c>
      <c r="G165" s="72">
        <v>0.22500000000000001</v>
      </c>
      <c r="H165" s="72">
        <v>0.22500000000000001</v>
      </c>
    </row>
    <row r="166" spans="1:8" x14ac:dyDescent="0.2">
      <c r="A166" t="s">
        <v>163</v>
      </c>
      <c r="D166" s="66">
        <f>D164*D165</f>
        <v>286.02882000000005</v>
      </c>
      <c r="E166" s="66">
        <f t="shared" ref="E166" si="106">E164*E165</f>
        <v>311.76961200000005</v>
      </c>
      <c r="F166" s="66">
        <f t="shared" ref="F166" si="107">F164*F165</f>
        <v>331.81006320000006</v>
      </c>
      <c r="G166" s="66">
        <f t="shared" ref="G166" si="108">G164*G165</f>
        <v>318.88018008000006</v>
      </c>
      <c r="H166" s="66">
        <f t="shared" ref="H166" si="109">H164*H165</f>
        <v>276.21314582400004</v>
      </c>
    </row>
    <row r="168" spans="1:8" x14ac:dyDescent="0.2">
      <c r="A168" t="s">
        <v>164</v>
      </c>
      <c r="D168" s="55">
        <v>0.34499999999999997</v>
      </c>
      <c r="E168" s="55">
        <f t="shared" ref="E168" si="110">D168-0.5%</f>
        <v>0.33999999999999997</v>
      </c>
      <c r="F168" s="55">
        <f t="shared" ref="F168" si="111">E168-0.5%</f>
        <v>0.33499999999999996</v>
      </c>
      <c r="G168" s="55">
        <f t="shared" ref="G168" si="112">F168-0.5%</f>
        <v>0.32999999999999996</v>
      </c>
      <c r="H168" s="55">
        <f t="shared" ref="H168" si="113">G168-0.5%</f>
        <v>0.32499999999999996</v>
      </c>
    </row>
    <row r="169" spans="1:8" x14ac:dyDescent="0.2">
      <c r="A169" t="s">
        <v>119</v>
      </c>
      <c r="D169" s="60">
        <f>D168*(C164+D164)</f>
        <v>645.57752400000004</v>
      </c>
      <c r="E169" s="60">
        <f t="shared" ref="E169" si="114">E168*(D164+E164)</f>
        <v>903.33985280000013</v>
      </c>
      <c r="F169" s="60">
        <f t="shared" ref="F169" si="115">F168*(E164+F164)</f>
        <v>958.21862752000004</v>
      </c>
      <c r="G169" s="60">
        <f t="shared" ref="G169" si="116">G168*(F164+G164)</f>
        <v>954.34569014400006</v>
      </c>
      <c r="H169" s="60">
        <f t="shared" ref="H169" si="117">H168*(G164+H164)</f>
        <v>859.57924852799999</v>
      </c>
    </row>
    <row r="170" spans="1:8" x14ac:dyDescent="0.2">
      <c r="A170" t="s">
        <v>120</v>
      </c>
      <c r="D170" s="22">
        <v>0.43</v>
      </c>
      <c r="E170" s="22">
        <v>0.43</v>
      </c>
      <c r="F170" s="22">
        <v>0.43</v>
      </c>
      <c r="G170" s="22">
        <v>0.43</v>
      </c>
      <c r="H170" s="22">
        <v>0.43</v>
      </c>
    </row>
    <row r="171" spans="1:8" x14ac:dyDescent="0.2">
      <c r="A171" t="s">
        <v>122</v>
      </c>
      <c r="D171" s="60">
        <f t="shared" ref="D171:H171" si="118">D169*D170</f>
        <v>277.59833531999999</v>
      </c>
      <c r="E171" s="60">
        <f t="shared" si="118"/>
        <v>388.43613670400003</v>
      </c>
      <c r="F171" s="60">
        <f t="shared" si="118"/>
        <v>412.03400983360001</v>
      </c>
      <c r="G171" s="60">
        <f t="shared" si="118"/>
        <v>410.36864676192005</v>
      </c>
      <c r="H171" s="60">
        <f t="shared" si="118"/>
        <v>369.61907686704001</v>
      </c>
    </row>
    <row r="173" spans="1:8" x14ac:dyDescent="0.2">
      <c r="A173" t="s">
        <v>165</v>
      </c>
      <c r="D173" s="46">
        <v>178.5</v>
      </c>
      <c r="E173" s="46">
        <f t="shared" ref="E173" si="119">D173*1.02</f>
        <v>182.07</v>
      </c>
      <c r="F173" s="46">
        <f t="shared" ref="F173" si="120">E173*1.02</f>
        <v>185.7114</v>
      </c>
      <c r="G173" s="46">
        <f t="shared" ref="G173" si="121">F173*1.02</f>
        <v>189.42562799999999</v>
      </c>
      <c r="H173" s="46">
        <f t="shared" ref="H173" si="122">G173*1.02</f>
        <v>193.21414056</v>
      </c>
    </row>
    <row r="174" spans="1:8" x14ac:dyDescent="0.2">
      <c r="A174" t="s">
        <v>166</v>
      </c>
      <c r="D174" s="22">
        <v>0.85</v>
      </c>
      <c r="E174" s="22">
        <v>0.85</v>
      </c>
      <c r="F174" s="22">
        <v>0.85</v>
      </c>
      <c r="G174" s="22">
        <v>0.85</v>
      </c>
      <c r="H174" s="22">
        <v>0.85</v>
      </c>
    </row>
    <row r="175" spans="1:8" x14ac:dyDescent="0.2">
      <c r="A175" t="s">
        <v>167</v>
      </c>
      <c r="D175" s="60">
        <f t="shared" ref="D175:H175" si="123">D173*D174</f>
        <v>151.72499999999999</v>
      </c>
      <c r="E175" s="60">
        <f t="shared" si="123"/>
        <v>154.7595</v>
      </c>
      <c r="F175" s="60">
        <f t="shared" si="123"/>
        <v>157.85469000000001</v>
      </c>
      <c r="G175" s="60">
        <f t="shared" si="123"/>
        <v>161.01178379999999</v>
      </c>
      <c r="H175" s="60">
        <f t="shared" si="123"/>
        <v>164.232019476</v>
      </c>
    </row>
    <row r="177" spans="1:10" x14ac:dyDescent="0.2">
      <c r="A177" t="s">
        <v>169</v>
      </c>
      <c r="D177" s="73">
        <f>0.15*1.11*1.4*1.2</f>
        <v>0.27971999999999997</v>
      </c>
      <c r="E177" s="68">
        <f>D177*1.1</f>
        <v>0.30769199999999997</v>
      </c>
      <c r="F177" s="68">
        <f>E177*1.01</f>
        <v>0.31076891999999995</v>
      </c>
      <c r="G177" s="68">
        <f>F177*0.9</f>
        <v>0.27969202799999998</v>
      </c>
      <c r="H177" s="68">
        <f>G177*0.9</f>
        <v>0.2517228252</v>
      </c>
      <c r="J177" t="s">
        <v>326</v>
      </c>
    </row>
    <row r="178" spans="1:10" x14ac:dyDescent="0.2">
      <c r="A178" t="s">
        <v>171</v>
      </c>
      <c r="D178" s="66">
        <f>D140*D177</f>
        <v>559.43999999999994</v>
      </c>
      <c r="E178" s="66">
        <f>E140*E177</f>
        <v>615.3839999999999</v>
      </c>
      <c r="F178" s="66">
        <f>F140*F177</f>
        <v>621.53783999999985</v>
      </c>
      <c r="G178" s="66">
        <f>G140*G177</f>
        <v>559.38405599999999</v>
      </c>
      <c r="H178" s="66">
        <f>H140*H177</f>
        <v>503.44565039999998</v>
      </c>
    </row>
    <row r="179" spans="1:10" x14ac:dyDescent="0.2">
      <c r="A179" t="s">
        <v>124</v>
      </c>
      <c r="D179" s="22">
        <v>0.32</v>
      </c>
      <c r="E179" s="22">
        <v>0.32</v>
      </c>
      <c r="F179" s="22">
        <v>0.32</v>
      </c>
      <c r="G179" s="22">
        <v>0.32</v>
      </c>
      <c r="H179" s="22">
        <v>0.32</v>
      </c>
    </row>
    <row r="180" spans="1:10" x14ac:dyDescent="0.2">
      <c r="A180" t="s">
        <v>125</v>
      </c>
      <c r="D180" s="60">
        <f t="shared" ref="D180:H180" si="124">D178*D179</f>
        <v>179.02079999999998</v>
      </c>
      <c r="E180" s="60">
        <f t="shared" si="124"/>
        <v>196.92287999999996</v>
      </c>
      <c r="F180" s="60">
        <f t="shared" si="124"/>
        <v>198.89210879999996</v>
      </c>
      <c r="G180" s="60">
        <f t="shared" si="124"/>
        <v>179.00289792000001</v>
      </c>
      <c r="H180" s="60">
        <f t="shared" si="124"/>
        <v>161.10260812799999</v>
      </c>
    </row>
    <row r="182" spans="1:10" x14ac:dyDescent="0.2">
      <c r="A182" s="80" t="s">
        <v>170</v>
      </c>
      <c r="B182" s="80"/>
      <c r="C182" s="80"/>
      <c r="D182" s="81">
        <f>D157+D164+D169+D173+D178</f>
        <v>3874.4367240000006</v>
      </c>
      <c r="E182" s="81">
        <f t="shared" ref="E182:H182" si="125">E157+E164+E169+E173+E178</f>
        <v>4419.6845728000008</v>
      </c>
      <c r="F182" s="81">
        <f t="shared" si="125"/>
        <v>4584.11205952</v>
      </c>
      <c r="G182" s="81">
        <f t="shared" si="125"/>
        <v>4293.6521389440004</v>
      </c>
      <c r="H182" s="81">
        <f t="shared" si="125"/>
        <v>3722.4542369280002</v>
      </c>
    </row>
    <row r="183" spans="1:10" x14ac:dyDescent="0.2">
      <c r="A183" s="80" t="s">
        <v>172</v>
      </c>
      <c r="B183" s="80"/>
      <c r="C183" s="80"/>
      <c r="D183" s="81">
        <f>D159+D166+D171+D175+D180</f>
        <v>1012.68191532</v>
      </c>
      <c r="E183" s="81">
        <f t="shared" ref="E183:H183" si="126">E159+E166+E171+E175+E180</f>
        <v>1181.213184704</v>
      </c>
      <c r="F183" s="81">
        <f t="shared" si="126"/>
        <v>1230.9523534336001</v>
      </c>
      <c r="G183" s="81">
        <f t="shared" si="126"/>
        <v>1183.0689060019201</v>
      </c>
      <c r="H183" s="81">
        <f t="shared" si="126"/>
        <v>1062.21116824704</v>
      </c>
    </row>
    <row r="184" spans="1:10" x14ac:dyDescent="0.2">
      <c r="A184" t="s">
        <v>173</v>
      </c>
      <c r="D184" s="47">
        <f>D183/D182</f>
        <v>0.2613752623825274</v>
      </c>
      <c r="E184" s="47">
        <f t="shared" ref="E184" si="127">E183/E182</f>
        <v>0.26726187474407626</v>
      </c>
      <c r="F184" s="47">
        <f t="shared" ref="F184" si="128">F183/F182</f>
        <v>0.26852579898810164</v>
      </c>
      <c r="G184" s="47">
        <f t="shared" ref="G184" si="129">G183/G182</f>
        <v>0.27553906737607514</v>
      </c>
      <c r="H184" s="47">
        <f t="shared" ref="H184" si="130">H183/H182</f>
        <v>0.28535237793108303</v>
      </c>
    </row>
    <row r="186" spans="1:10" x14ac:dyDescent="0.2">
      <c r="A186" t="s">
        <v>176</v>
      </c>
      <c r="D186" s="66">
        <f>D182/D140</f>
        <v>1.9372183620000003</v>
      </c>
      <c r="E186" s="66">
        <f t="shared" ref="E186:H186" si="131">E182/E140</f>
        <v>2.2098422864000002</v>
      </c>
      <c r="F186" s="66">
        <f t="shared" si="131"/>
        <v>2.2920560297599999</v>
      </c>
      <c r="G186" s="66">
        <f t="shared" si="131"/>
        <v>2.1468260694720001</v>
      </c>
      <c r="H186" s="66">
        <f t="shared" si="131"/>
        <v>1.8612271184640001</v>
      </c>
    </row>
    <row r="187" spans="1:10" x14ac:dyDescent="0.2">
      <c r="A187" s="53"/>
      <c r="B187" s="53"/>
      <c r="C187" s="53"/>
      <c r="D187" s="53"/>
      <c r="E187" s="53"/>
      <c r="F187" s="53"/>
      <c r="G187" s="53"/>
      <c r="H187" s="53"/>
    </row>
    <row r="188" spans="1:10" x14ac:dyDescent="0.2">
      <c r="A188" t="s">
        <v>126</v>
      </c>
    </row>
    <row r="189" spans="1:10" x14ac:dyDescent="0.2">
      <c r="B189">
        <v>19</v>
      </c>
      <c r="C189">
        <v>20</v>
      </c>
      <c r="D189">
        <v>21</v>
      </c>
      <c r="E189">
        <v>22</v>
      </c>
      <c r="F189">
        <v>23</v>
      </c>
      <c r="G189">
        <v>24</v>
      </c>
      <c r="H189">
        <v>25</v>
      </c>
    </row>
    <row r="190" spans="1:10" x14ac:dyDescent="0.2">
      <c r="A190" t="s">
        <v>183</v>
      </c>
      <c r="B190" s="49">
        <v>737</v>
      </c>
      <c r="C190" s="50">
        <f>C191*5000</f>
        <v>752.51860591758941</v>
      </c>
    </row>
    <row r="191" spans="1:10" x14ac:dyDescent="0.2">
      <c r="A191" t="s">
        <v>182</v>
      </c>
      <c r="B191" s="73">
        <f>B190/5509</f>
        <v>0.13378108549646034</v>
      </c>
      <c r="C191" s="68">
        <f>B191*1.125</f>
        <v>0.15050372118351787</v>
      </c>
    </row>
    <row r="192" spans="1:10" x14ac:dyDescent="0.2">
      <c r="A192" s="91" t="s">
        <v>184</v>
      </c>
      <c r="D192" s="73">
        <f>(C191*1.2)*1.1</f>
        <v>0.19866491196224359</v>
      </c>
      <c r="E192" s="73">
        <f>D192*1.1</f>
        <v>0.21853140315846797</v>
      </c>
      <c r="F192" s="73">
        <f>E192*1.05</f>
        <v>0.22945797331639139</v>
      </c>
      <c r="G192" s="73">
        <f>F192*0.925</f>
        <v>0.21224862531766206</v>
      </c>
      <c r="H192" s="73">
        <f>G192*0.85</f>
        <v>0.18041133152001274</v>
      </c>
      <c r="J192" t="s">
        <v>189</v>
      </c>
    </row>
    <row r="193" spans="1:13" x14ac:dyDescent="0.2">
      <c r="A193" s="65" t="s">
        <v>185</v>
      </c>
      <c r="D193" s="73">
        <f>(C191*1.4)*1.125</f>
        <v>0.23704336086404065</v>
      </c>
      <c r="E193" s="73">
        <f>D193*1.1</f>
        <v>0.26074769695044475</v>
      </c>
      <c r="F193" s="73">
        <f>E193*1.075</f>
        <v>0.28030377422172809</v>
      </c>
      <c r="G193" s="73">
        <f>F193*1.05</f>
        <v>0.29431896293281451</v>
      </c>
      <c r="H193" s="73">
        <f>G193*1.025</f>
        <v>0.30167693700613485</v>
      </c>
      <c r="J193" t="s">
        <v>190</v>
      </c>
    </row>
    <row r="194" spans="1:13" x14ac:dyDescent="0.2">
      <c r="A194" s="40" t="s">
        <v>327</v>
      </c>
      <c r="D194" s="73">
        <f>(C191*1.4)*1.15</f>
        <v>0.24231099110546375</v>
      </c>
      <c r="E194" s="73">
        <f>D194*1.15</f>
        <v>0.27865763977128327</v>
      </c>
      <c r="F194" s="73">
        <f t="shared" ref="F194:H194" si="132">E194*1.15</f>
        <v>0.32045628573697577</v>
      </c>
      <c r="G194" s="73">
        <f t="shared" si="132"/>
        <v>0.36852472859752211</v>
      </c>
      <c r="H194" s="73">
        <f t="shared" si="132"/>
        <v>0.42380343788715041</v>
      </c>
      <c r="J194" t="s">
        <v>188</v>
      </c>
    </row>
    <row r="195" spans="1:13" x14ac:dyDescent="0.2">
      <c r="A195" s="91" t="s">
        <v>181</v>
      </c>
      <c r="D195" s="66">
        <f>D38*D192</f>
        <v>397.32982392448719</v>
      </c>
      <c r="E195" s="66">
        <f>E38*E192</f>
        <v>437.06280631693596</v>
      </c>
      <c r="F195" s="66">
        <f>F38*F192</f>
        <v>458.91594663278278</v>
      </c>
      <c r="G195" s="66">
        <f>G38*G192</f>
        <v>424.49725063532412</v>
      </c>
      <c r="H195" s="66">
        <f>H38*H192</f>
        <v>360.82266304002547</v>
      </c>
    </row>
    <row r="196" spans="1:13" x14ac:dyDescent="0.2">
      <c r="A196" s="65" t="s">
        <v>180</v>
      </c>
      <c r="D196" s="66">
        <f>D38*D193</f>
        <v>474.08672172808133</v>
      </c>
      <c r="E196" s="66">
        <f>E38*E193</f>
        <v>521.49539390088955</v>
      </c>
      <c r="F196" s="66">
        <f>F38*F193</f>
        <v>560.60754844345615</v>
      </c>
      <c r="G196" s="66">
        <f>G38*G193</f>
        <v>588.63792586562897</v>
      </c>
      <c r="H196" s="66">
        <f>H38*H193</f>
        <v>603.35387401226967</v>
      </c>
    </row>
    <row r="197" spans="1:13" x14ac:dyDescent="0.2">
      <c r="A197" s="40" t="s">
        <v>236</v>
      </c>
      <c r="D197" s="66">
        <f>D38*D194</f>
        <v>484.62198221092751</v>
      </c>
      <c r="E197" s="66">
        <f>E38*E194</f>
        <v>557.3152795425666</v>
      </c>
      <c r="F197" s="66">
        <f>F38*F194</f>
        <v>640.91257147395152</v>
      </c>
      <c r="G197" s="66">
        <f>G38*G194</f>
        <v>737.04945719504417</v>
      </c>
      <c r="H197" s="66">
        <f>H38*H194</f>
        <v>847.60687577430087</v>
      </c>
    </row>
    <row r="199" spans="1:13" x14ac:dyDescent="0.2">
      <c r="A199" t="s">
        <v>127</v>
      </c>
      <c r="D199" s="22">
        <v>0.33</v>
      </c>
      <c r="E199" s="22">
        <v>0.33</v>
      </c>
      <c r="F199" s="22">
        <v>0.33</v>
      </c>
      <c r="G199" s="22">
        <v>0.33</v>
      </c>
      <c r="H199" s="22">
        <v>0.33</v>
      </c>
    </row>
    <row r="201" spans="1:13" x14ac:dyDescent="0.2">
      <c r="A201" s="91" t="s">
        <v>194</v>
      </c>
      <c r="D201" s="61">
        <f>D195*D199</f>
        <v>131.11884189508078</v>
      </c>
      <c r="E201" s="61">
        <f t="shared" ref="E201:H201" si="133">E195*E199</f>
        <v>144.23072608458887</v>
      </c>
      <c r="F201" s="61">
        <f t="shared" si="133"/>
        <v>151.44226238881834</v>
      </c>
      <c r="G201" s="61">
        <f t="shared" si="133"/>
        <v>140.08409270965697</v>
      </c>
      <c r="H201" s="61">
        <f t="shared" si="133"/>
        <v>119.07147880320841</v>
      </c>
    </row>
    <row r="202" spans="1:13" x14ac:dyDescent="0.2">
      <c r="A202" s="65" t="s">
        <v>195</v>
      </c>
      <c r="D202" s="61">
        <f>D196*D199</f>
        <v>156.44861817026685</v>
      </c>
      <c r="E202" s="61">
        <f t="shared" ref="E202:H202" si="134">E196*E199</f>
        <v>172.09347998729356</v>
      </c>
      <c r="F202" s="61">
        <f t="shared" si="134"/>
        <v>185.00049098634054</v>
      </c>
      <c r="G202" s="61">
        <f t="shared" si="134"/>
        <v>194.25051553565757</v>
      </c>
      <c r="H202" s="61">
        <f t="shared" si="134"/>
        <v>199.106778424049</v>
      </c>
    </row>
    <row r="203" spans="1:13" x14ac:dyDescent="0.2">
      <c r="A203" s="40" t="s">
        <v>196</v>
      </c>
      <c r="D203" s="61">
        <f>D197*D199</f>
        <v>159.92525412960609</v>
      </c>
      <c r="E203" s="61">
        <f t="shared" ref="E203:H203" si="135">E197*E199</f>
        <v>183.91404224904699</v>
      </c>
      <c r="F203" s="61">
        <f t="shared" si="135"/>
        <v>211.50114858640401</v>
      </c>
      <c r="G203" s="61">
        <f t="shared" si="135"/>
        <v>243.22632087436457</v>
      </c>
      <c r="H203" s="61">
        <f t="shared" si="135"/>
        <v>279.71026900551931</v>
      </c>
    </row>
    <row r="204" spans="1:13" x14ac:dyDescent="0.2">
      <c r="A204" s="53"/>
      <c r="B204" s="53"/>
      <c r="C204" s="53"/>
      <c r="D204" s="53"/>
      <c r="E204" s="53"/>
      <c r="F204" s="53"/>
      <c r="G204" s="53"/>
      <c r="H204" s="53"/>
    </row>
    <row r="205" spans="1:13" x14ac:dyDescent="0.2">
      <c r="A205" s="63" t="s">
        <v>174</v>
      </c>
    </row>
    <row r="206" spans="1:13" x14ac:dyDescent="0.2">
      <c r="C206">
        <v>20</v>
      </c>
      <c r="D206">
        <v>21</v>
      </c>
      <c r="E206">
        <v>22</v>
      </c>
      <c r="F206">
        <v>23</v>
      </c>
      <c r="G206">
        <v>24</v>
      </c>
      <c r="H206">
        <v>25</v>
      </c>
    </row>
    <row r="207" spans="1:13" x14ac:dyDescent="0.2">
      <c r="A207" s="91" t="s">
        <v>240</v>
      </c>
    </row>
    <row r="208" spans="1:13" x14ac:dyDescent="0.2">
      <c r="A208" t="s">
        <v>241</v>
      </c>
      <c r="C208" s="49">
        <v>144</v>
      </c>
      <c r="D208" s="49">
        <v>127</v>
      </c>
      <c r="E208" s="49">
        <v>105</v>
      </c>
      <c r="F208" s="49">
        <v>90</v>
      </c>
      <c r="G208" s="49">
        <v>82</v>
      </c>
      <c r="H208" s="49">
        <v>77</v>
      </c>
      <c r="L208" s="50">
        <f>SUM(C208:H208)</f>
        <v>625</v>
      </c>
      <c r="M208" t="s">
        <v>268</v>
      </c>
    </row>
    <row r="209" spans="1:13" x14ac:dyDescent="0.2">
      <c r="A209" t="s">
        <v>90</v>
      </c>
      <c r="B209" t="s">
        <v>147</v>
      </c>
      <c r="C209">
        <v>9.6</v>
      </c>
      <c r="D209" s="2">
        <f>C209*1.25</f>
        <v>12</v>
      </c>
      <c r="E209" s="2">
        <f>D209*1.2</f>
        <v>14.399999999999999</v>
      </c>
      <c r="F209" s="2">
        <f>E209*0.9</f>
        <v>12.959999999999999</v>
      </c>
      <c r="G209" s="2">
        <f>F209*0.8</f>
        <v>10.368</v>
      </c>
      <c r="H209" s="2">
        <f>G209*0.8</f>
        <v>8.2944000000000013</v>
      </c>
    </row>
    <row r="210" spans="1:13" x14ac:dyDescent="0.2">
      <c r="A210" t="s">
        <v>243</v>
      </c>
      <c r="C210" s="49">
        <f>C209*C208</f>
        <v>1382.3999999999999</v>
      </c>
      <c r="D210" s="49">
        <f>(D209*C208)+(C209*D208)</f>
        <v>2947.2</v>
      </c>
      <c r="E210" s="49">
        <f>(C209*E208)+(D209*D208)+(E209*C208)</f>
        <v>4605.6000000000004</v>
      </c>
      <c r="F210" s="49">
        <f>(C209*F208)+(D209*E208)+(E209*D208)+(F209*C208)</f>
        <v>5819.0399999999991</v>
      </c>
      <c r="G210" s="49">
        <f>(C209*G208)+(D209*F208)+(E209*E208)+(F209*D208)+(G209*C208)</f>
        <v>6518.1120000000001</v>
      </c>
      <c r="H210" s="49">
        <f>(C209*H208)+(D209*G208)+(E209*F208)+(F209*E208)+(G209*D208)+(H209*C208)</f>
        <v>6891.1296000000002</v>
      </c>
    </row>
    <row r="211" spans="1:13" x14ac:dyDescent="0.2">
      <c r="A211" s="1" t="s">
        <v>242</v>
      </c>
      <c r="C211" s="55">
        <v>4.4999999999999998E-2</v>
      </c>
      <c r="D211" s="55">
        <v>4.4999999999999998E-2</v>
      </c>
      <c r="E211" s="55">
        <v>4.4999999999999998E-2</v>
      </c>
      <c r="F211" s="55">
        <v>4.4999999999999998E-2</v>
      </c>
      <c r="G211" s="55">
        <v>4.4999999999999998E-2</v>
      </c>
      <c r="H211" s="55">
        <v>4.4999999999999998E-2</v>
      </c>
    </row>
    <row r="212" spans="1:13" x14ac:dyDescent="0.2">
      <c r="A212" t="s">
        <v>129</v>
      </c>
      <c r="C212" s="8">
        <v>0.03</v>
      </c>
      <c r="D212" s="8">
        <v>0.03</v>
      </c>
      <c r="E212" s="8">
        <v>0.03</v>
      </c>
      <c r="F212" s="8">
        <v>0.03</v>
      </c>
      <c r="G212" s="8">
        <v>0.03</v>
      </c>
      <c r="H212" s="8">
        <v>0.03</v>
      </c>
    </row>
    <row r="213" spans="1:13" x14ac:dyDescent="0.2">
      <c r="A213" s="77" t="s">
        <v>244</v>
      </c>
      <c r="B213" s="77"/>
      <c r="C213" s="78">
        <f>C210*C211*C212</f>
        <v>1.8662399999999997</v>
      </c>
      <c r="D213" s="78">
        <f t="shared" ref="D213:H213" si="136">D210*D211*D212</f>
        <v>3.9787199999999996</v>
      </c>
      <c r="E213" s="78">
        <f t="shared" si="136"/>
        <v>6.2175599999999998</v>
      </c>
      <c r="F213" s="78">
        <f t="shared" si="136"/>
        <v>7.8557039999999985</v>
      </c>
      <c r="G213" s="78">
        <f t="shared" si="136"/>
        <v>8.7994512</v>
      </c>
      <c r="H213" s="78">
        <f t="shared" si="136"/>
        <v>9.3030249600000001</v>
      </c>
    </row>
    <row r="215" spans="1:13" x14ac:dyDescent="0.2">
      <c r="A215" s="65" t="s">
        <v>245</v>
      </c>
    </row>
    <row r="216" spans="1:13" x14ac:dyDescent="0.2">
      <c r="A216" t="s">
        <v>241</v>
      </c>
      <c r="C216" s="49">
        <f>C208*1.2</f>
        <v>172.79999999999998</v>
      </c>
      <c r="D216" s="49">
        <f t="shared" ref="D216:H216" si="137">D208*1.2</f>
        <v>152.4</v>
      </c>
      <c r="E216" s="49">
        <f t="shared" si="137"/>
        <v>126</v>
      </c>
      <c r="F216" s="49">
        <f t="shared" si="137"/>
        <v>108</v>
      </c>
      <c r="G216" s="49">
        <f t="shared" si="137"/>
        <v>98.399999999999991</v>
      </c>
      <c r="H216" s="49">
        <f t="shared" si="137"/>
        <v>92.399999999999991</v>
      </c>
      <c r="I216" t="s">
        <v>319</v>
      </c>
      <c r="L216" s="50">
        <f>SUM(C216:H216)</f>
        <v>750</v>
      </c>
      <c r="M216" t="s">
        <v>268</v>
      </c>
    </row>
    <row r="217" spans="1:13" x14ac:dyDescent="0.2">
      <c r="A217" t="s">
        <v>90</v>
      </c>
      <c r="B217" t="s">
        <v>147</v>
      </c>
      <c r="C217">
        <v>9.6</v>
      </c>
      <c r="D217" s="2">
        <f>C217*1.25</f>
        <v>12</v>
      </c>
      <c r="E217" s="2">
        <f>D217*1.2</f>
        <v>14.399999999999999</v>
      </c>
      <c r="F217" s="2">
        <f>E217*0.9</f>
        <v>12.959999999999999</v>
      </c>
      <c r="G217" s="2">
        <f>F217*0.8</f>
        <v>10.368</v>
      </c>
      <c r="H217" s="2">
        <f>G217*0.8</f>
        <v>8.2944000000000013</v>
      </c>
    </row>
    <row r="218" spans="1:13" x14ac:dyDescent="0.2">
      <c r="A218" t="s">
        <v>243</v>
      </c>
      <c r="C218" s="49">
        <f>C217*C216</f>
        <v>1658.8799999999999</v>
      </c>
      <c r="D218" s="49">
        <f>(D217*C216)+(C217*D216)</f>
        <v>3536.64</v>
      </c>
      <c r="E218" s="49">
        <f>(C217*E216)+(D217*D216)+(E217*C216)</f>
        <v>5526.7199999999993</v>
      </c>
      <c r="F218" s="49">
        <f>(C217*F216)+(D217*E216)+(E217*D216)+(F217*C216)</f>
        <v>6982.848</v>
      </c>
      <c r="G218" s="49">
        <f>(C217*G216)+(D217*F216)+(E217*E216)+(F217*D216)+(G217*C216)</f>
        <v>7821.7344000000003</v>
      </c>
      <c r="H218" s="49">
        <f>(C217*H216)+(D217*G216)+(E217*F216)+(F217*E216)+(G217*D216)+(H217*C216)</f>
        <v>8269.3555199999992</v>
      </c>
    </row>
    <row r="219" spans="1:13" x14ac:dyDescent="0.2">
      <c r="A219" s="1" t="s">
        <v>246</v>
      </c>
      <c r="C219" s="55">
        <v>0.06</v>
      </c>
      <c r="D219" s="55">
        <f>C219</f>
        <v>0.06</v>
      </c>
      <c r="E219" s="55">
        <f t="shared" ref="E219:H219" si="138">D219</f>
        <v>0.06</v>
      </c>
      <c r="F219" s="55">
        <f t="shared" si="138"/>
        <v>0.06</v>
      </c>
      <c r="G219" s="55">
        <f t="shared" si="138"/>
        <v>0.06</v>
      </c>
      <c r="H219" s="55">
        <f t="shared" si="138"/>
        <v>0.06</v>
      </c>
    </row>
    <row r="220" spans="1:13" x14ac:dyDescent="0.2">
      <c r="A220" t="s">
        <v>129</v>
      </c>
      <c r="C220" s="8">
        <v>0.04</v>
      </c>
      <c r="D220" s="8">
        <f>C220</f>
        <v>0.04</v>
      </c>
      <c r="E220" s="8">
        <f t="shared" ref="E220:H220" si="139">D220</f>
        <v>0.04</v>
      </c>
      <c r="F220" s="8">
        <f t="shared" si="139"/>
        <v>0.04</v>
      </c>
      <c r="G220" s="8">
        <f t="shared" si="139"/>
        <v>0.04</v>
      </c>
      <c r="H220" s="8">
        <f t="shared" si="139"/>
        <v>0.04</v>
      </c>
      <c r="I220" t="s">
        <v>320</v>
      </c>
    </row>
    <row r="221" spans="1:13" x14ac:dyDescent="0.2">
      <c r="A221" s="74" t="s">
        <v>244</v>
      </c>
      <c r="B221" s="74"/>
      <c r="C221" s="75">
        <f>C218*C219*C220</f>
        <v>3.981312</v>
      </c>
      <c r="D221" s="75">
        <f t="shared" ref="D221" si="140">D218*D219*D220</f>
        <v>8.4879359999999995</v>
      </c>
      <c r="E221" s="75">
        <f t="shared" ref="E221" si="141">E218*E219*E220</f>
        <v>13.264127999999999</v>
      </c>
      <c r="F221" s="75">
        <f t="shared" ref="F221" si="142">F218*F219*F220</f>
        <v>16.7588352</v>
      </c>
      <c r="G221" s="75">
        <f t="shared" ref="G221" si="143">G218*G219*G220</f>
        <v>18.772162559999998</v>
      </c>
      <c r="H221" s="75">
        <f t="shared" ref="H221" si="144">H218*H219*H220</f>
        <v>19.846453248</v>
      </c>
    </row>
    <row r="223" spans="1:13" x14ac:dyDescent="0.2">
      <c r="A223" s="40" t="s">
        <v>247</v>
      </c>
      <c r="B223" s="40"/>
    </row>
    <row r="224" spans="1:13" x14ac:dyDescent="0.2">
      <c r="A224" t="s">
        <v>241</v>
      </c>
      <c r="C224" s="49">
        <f>C208*1.33</f>
        <v>191.52</v>
      </c>
      <c r="D224" s="49">
        <f t="shared" ref="D224:H224" si="145">D208*1.33</f>
        <v>168.91</v>
      </c>
      <c r="E224" s="49">
        <f t="shared" si="145"/>
        <v>139.65</v>
      </c>
      <c r="F224" s="49">
        <f t="shared" si="145"/>
        <v>119.7</v>
      </c>
      <c r="G224" s="49">
        <f t="shared" si="145"/>
        <v>109.06</v>
      </c>
      <c r="H224" s="49">
        <f t="shared" si="145"/>
        <v>102.41000000000001</v>
      </c>
      <c r="I224" t="s">
        <v>321</v>
      </c>
      <c r="L224" s="50">
        <f>SUM(C224:H224)</f>
        <v>831.25000000000011</v>
      </c>
      <c r="M224" t="s">
        <v>268</v>
      </c>
    </row>
    <row r="225" spans="1:9" x14ac:dyDescent="0.2">
      <c r="A225" t="s">
        <v>90</v>
      </c>
      <c r="B225" t="s">
        <v>147</v>
      </c>
      <c r="C225">
        <v>9.6</v>
      </c>
      <c r="D225" s="2">
        <f>C225*1.25</f>
        <v>12</v>
      </c>
      <c r="E225" s="2">
        <f>D225*1.2</f>
        <v>14.399999999999999</v>
      </c>
      <c r="F225" s="2">
        <f>E225*0.9</f>
        <v>12.959999999999999</v>
      </c>
      <c r="G225" s="2">
        <f>F225*0.8</f>
        <v>10.368</v>
      </c>
      <c r="H225" s="2">
        <f>G225*0.8</f>
        <v>8.2944000000000013</v>
      </c>
    </row>
    <row r="226" spans="1:9" x14ac:dyDescent="0.2">
      <c r="A226" t="s">
        <v>243</v>
      </c>
      <c r="C226" s="49">
        <f>C225*C224</f>
        <v>1838.5920000000001</v>
      </c>
      <c r="D226" s="49">
        <f>(D225*C224)+(C225*D224)</f>
        <v>3919.7759999999998</v>
      </c>
      <c r="E226" s="49">
        <f>(C225*E224)+(D225*D224)+(E225*C224)</f>
        <v>6125.4480000000003</v>
      </c>
      <c r="F226" s="49">
        <f>(C225*F224)+(D225*E224)+(E225*D224)+(F225*C224)</f>
        <v>7739.3232000000007</v>
      </c>
      <c r="G226" s="49">
        <f>(C225*G224)+(D225*F224)+(E225*E224)+(F225*D224)+(G225*C224)</f>
        <v>8669.088960000001</v>
      </c>
      <c r="H226" s="49">
        <f>(C225*H224)+(D225*G224)+(E225*F224)+(F225*E224)+(G225*D224)+(H225*C224)</f>
        <v>9165.2023680000002</v>
      </c>
    </row>
    <row r="227" spans="1:9" x14ac:dyDescent="0.2">
      <c r="A227" t="s">
        <v>248</v>
      </c>
      <c r="C227" s="55">
        <v>7.4999999999999997E-2</v>
      </c>
      <c r="D227" s="55">
        <f>C227</f>
        <v>7.4999999999999997E-2</v>
      </c>
      <c r="E227" s="55">
        <f t="shared" ref="E227:H227" si="146">D227</f>
        <v>7.4999999999999997E-2</v>
      </c>
      <c r="F227" s="55">
        <f t="shared" si="146"/>
        <v>7.4999999999999997E-2</v>
      </c>
      <c r="G227" s="55">
        <f t="shared" si="146"/>
        <v>7.4999999999999997E-2</v>
      </c>
      <c r="H227" s="55">
        <f t="shared" si="146"/>
        <v>7.4999999999999997E-2</v>
      </c>
    </row>
    <row r="228" spans="1:9" x14ac:dyDescent="0.2">
      <c r="A228" t="s">
        <v>129</v>
      </c>
      <c r="C228" s="8">
        <v>0.05</v>
      </c>
      <c r="D228" s="8">
        <f>C228</f>
        <v>0.05</v>
      </c>
      <c r="E228" s="8">
        <f t="shared" ref="E228:H228" si="147">D228</f>
        <v>0.05</v>
      </c>
      <c r="F228" s="8">
        <f t="shared" si="147"/>
        <v>0.05</v>
      </c>
      <c r="G228" s="8">
        <f t="shared" si="147"/>
        <v>0.05</v>
      </c>
      <c r="H228" s="8">
        <f t="shared" si="147"/>
        <v>0.05</v>
      </c>
      <c r="I228" t="s">
        <v>322</v>
      </c>
    </row>
    <row r="229" spans="1:9" x14ac:dyDescent="0.2">
      <c r="A229" t="s">
        <v>244</v>
      </c>
      <c r="C229" s="61">
        <f>C226*C227*C228</f>
        <v>6.8947199999999995</v>
      </c>
      <c r="D229" s="61">
        <f t="shared" ref="D229" si="148">D226*D227*D228</f>
        <v>14.699159999999999</v>
      </c>
      <c r="E229" s="61">
        <f t="shared" ref="E229" si="149">E226*E227*E228</f>
        <v>22.970430000000004</v>
      </c>
      <c r="F229" s="61">
        <f t="shared" ref="F229" si="150">F226*F227*F228</f>
        <v>29.022462000000004</v>
      </c>
      <c r="G229" s="61">
        <f t="shared" ref="G229" si="151">G226*G227*G228</f>
        <v>32.509083600000004</v>
      </c>
      <c r="H229" s="61">
        <f t="shared" ref="H229" si="152">H226*H227*H228</f>
        <v>34.369508880000005</v>
      </c>
    </row>
    <row r="231" spans="1:9" x14ac:dyDescent="0.2">
      <c r="A231" t="s">
        <v>249</v>
      </c>
      <c r="C231" s="49">
        <f>C224</f>
        <v>191.52</v>
      </c>
      <c r="D231" s="49">
        <f t="shared" ref="D231:H231" si="153">D224</f>
        <v>168.91</v>
      </c>
      <c r="E231" s="49">
        <f t="shared" si="153"/>
        <v>139.65</v>
      </c>
      <c r="F231" s="49">
        <f t="shared" si="153"/>
        <v>119.7</v>
      </c>
      <c r="G231" s="49">
        <f t="shared" si="153"/>
        <v>109.06</v>
      </c>
      <c r="H231" s="49">
        <f t="shared" si="153"/>
        <v>102.41000000000001</v>
      </c>
    </row>
    <row r="232" spans="1:9" x14ac:dyDescent="0.2">
      <c r="A232" t="s">
        <v>250</v>
      </c>
      <c r="B232" t="s">
        <v>147</v>
      </c>
      <c r="C232">
        <v>14.4</v>
      </c>
      <c r="D232" s="2">
        <f>C232*1.15</f>
        <v>16.559999999999999</v>
      </c>
      <c r="E232" s="2">
        <f>D232*1.1</f>
        <v>18.216000000000001</v>
      </c>
      <c r="F232" s="2">
        <f>E232*1.1</f>
        <v>20.037600000000001</v>
      </c>
      <c r="G232" s="2">
        <f>F232*0.9</f>
        <v>18.033840000000001</v>
      </c>
      <c r="H232" s="2">
        <f>G232*0.8</f>
        <v>14.427072000000003</v>
      </c>
    </row>
    <row r="233" spans="1:9" x14ac:dyDescent="0.2">
      <c r="A233" t="s">
        <v>251</v>
      </c>
      <c r="C233" s="49">
        <f>C232*C231</f>
        <v>2757.8880000000004</v>
      </c>
      <c r="D233" s="49">
        <f>(D232*C231)+(C232*D231)</f>
        <v>5603.8752000000004</v>
      </c>
      <c r="E233" s="49">
        <f>(C232*E231)+(D232*D231)+(E232*C231)</f>
        <v>8296.8379199999999</v>
      </c>
      <c r="F233" s="49">
        <f>(C232*F231)+(D232*E231)+(E232*D231)+(F232*C231)</f>
        <v>10950.749712000001</v>
      </c>
      <c r="G233" s="49">
        <f>(C232*G231)+(D232*F231)+(E232*E231)+(F232*D231)+(G232*C231)</f>
        <v>12934.9524528</v>
      </c>
      <c r="H233" s="49">
        <f>(C232*H231)+(D232*G231)+(E232*F231)+(F232*E231)+(G232*D231)+(H232*C231)</f>
        <v>14068.612383840002</v>
      </c>
    </row>
    <row r="234" spans="1:9" x14ac:dyDescent="0.2">
      <c r="A234" t="s">
        <v>248</v>
      </c>
      <c r="C234" s="55">
        <v>7.4999999999999997E-2</v>
      </c>
      <c r="D234" s="55">
        <f>C234</f>
        <v>7.4999999999999997E-2</v>
      </c>
      <c r="E234" s="55">
        <f t="shared" ref="E234:H234" si="154">D234</f>
        <v>7.4999999999999997E-2</v>
      </c>
      <c r="F234" s="55">
        <f t="shared" si="154"/>
        <v>7.4999999999999997E-2</v>
      </c>
      <c r="G234" s="55">
        <f t="shared" si="154"/>
        <v>7.4999999999999997E-2</v>
      </c>
      <c r="H234" s="55">
        <f t="shared" si="154"/>
        <v>7.4999999999999997E-2</v>
      </c>
    </row>
    <row r="235" spans="1:9" x14ac:dyDescent="0.2">
      <c r="A235" t="s">
        <v>129</v>
      </c>
      <c r="C235" s="8">
        <v>0.05</v>
      </c>
      <c r="D235" s="8">
        <f>C235</f>
        <v>0.05</v>
      </c>
      <c r="E235" s="8">
        <f t="shared" ref="E235:H235" si="155">D235</f>
        <v>0.05</v>
      </c>
      <c r="F235" s="8">
        <f t="shared" si="155"/>
        <v>0.05</v>
      </c>
      <c r="G235" s="8">
        <f t="shared" si="155"/>
        <v>0.05</v>
      </c>
      <c r="H235" s="8">
        <f t="shared" si="155"/>
        <v>0.05</v>
      </c>
    </row>
    <row r="236" spans="1:9" x14ac:dyDescent="0.2">
      <c r="A236" t="s">
        <v>244</v>
      </c>
      <c r="C236" s="61">
        <f>C233*C234*C235</f>
        <v>10.342080000000003</v>
      </c>
      <c r="D236" s="61">
        <f t="shared" ref="D236" si="156">D233*D234*D235</f>
        <v>21.014532000000003</v>
      </c>
      <c r="E236" s="61">
        <f t="shared" ref="E236" si="157">E233*E234*E235</f>
        <v>31.113142199999999</v>
      </c>
      <c r="F236" s="61">
        <f t="shared" ref="F236" si="158">F233*F234*F235</f>
        <v>41.06531142</v>
      </c>
      <c r="G236" s="61">
        <f t="shared" ref="G236" si="159">G233*G234*G235</f>
        <v>48.506071698</v>
      </c>
      <c r="H236" s="61">
        <f t="shared" ref="H236" si="160">H233*H234*H235</f>
        <v>52.757296439400001</v>
      </c>
    </row>
    <row r="238" spans="1:9" x14ac:dyDescent="0.2">
      <c r="A238" s="80" t="s">
        <v>252</v>
      </c>
      <c r="B238" s="80"/>
      <c r="C238" s="81">
        <f>C229+C236</f>
        <v>17.236800000000002</v>
      </c>
      <c r="D238" s="81">
        <f t="shared" ref="D238:H238" si="161">D229+D236</f>
        <v>35.713692000000002</v>
      </c>
      <c r="E238" s="81">
        <f t="shared" si="161"/>
        <v>54.083572200000006</v>
      </c>
      <c r="F238" s="81">
        <f t="shared" si="161"/>
        <v>70.087773420000005</v>
      </c>
      <c r="G238" s="81">
        <f t="shared" si="161"/>
        <v>81.015155297999996</v>
      </c>
      <c r="H238" s="81">
        <f t="shared" si="161"/>
        <v>87.126805319400006</v>
      </c>
    </row>
    <row r="239" spans="1:9" x14ac:dyDescent="0.2">
      <c r="A239" s="53"/>
      <c r="B239" s="53"/>
      <c r="C239" s="53"/>
      <c r="D239" s="53"/>
      <c r="E239" s="53"/>
      <c r="F239" s="53"/>
      <c r="G239" s="53"/>
      <c r="H239" s="53"/>
    </row>
    <row r="240" spans="1:9" s="1" customFormat="1" x14ac:dyDescent="0.2">
      <c r="A240" s="1" t="s">
        <v>258</v>
      </c>
    </row>
    <row r="241" spans="1:12" s="1" customFormat="1" x14ac:dyDescent="0.2">
      <c r="D241" s="1">
        <v>21</v>
      </c>
      <c r="E241" s="1">
        <v>22</v>
      </c>
      <c r="F241" s="1">
        <v>23</v>
      </c>
      <c r="G241" s="1">
        <v>24</v>
      </c>
      <c r="H241" s="1">
        <v>25</v>
      </c>
    </row>
    <row r="242" spans="1:12" s="1" customFormat="1" x14ac:dyDescent="0.2">
      <c r="A242" s="91" t="s">
        <v>259</v>
      </c>
    </row>
    <row r="243" spans="1:12" s="1" customFormat="1" x14ac:dyDescent="0.2">
      <c r="A243" s="1" t="s">
        <v>260</v>
      </c>
      <c r="B243" s="1">
        <v>15.2</v>
      </c>
      <c r="C243" s="1">
        <v>20</v>
      </c>
      <c r="D243" s="10">
        <f>C243*1.05</f>
        <v>21</v>
      </c>
      <c r="E243" s="10">
        <f>D243*1.1</f>
        <v>23.1</v>
      </c>
      <c r="F243" s="10">
        <f>E243*0.925</f>
        <v>21.367500000000003</v>
      </c>
      <c r="G243" s="10">
        <f>F243*0.9</f>
        <v>19.230750000000004</v>
      </c>
      <c r="H243" s="10">
        <f>G243*0.9</f>
        <v>17.307675000000003</v>
      </c>
      <c r="I243" s="1" t="s">
        <v>261</v>
      </c>
    </row>
    <row r="244" spans="1:12" s="1" customFormat="1" x14ac:dyDescent="0.2">
      <c r="A244" s="1" t="s">
        <v>262</v>
      </c>
      <c r="B244" s="10">
        <f>B243/3</f>
        <v>5.0666666666666664</v>
      </c>
      <c r="C244" s="10">
        <f t="shared" ref="C244:H244" si="162">C243/3</f>
        <v>6.666666666666667</v>
      </c>
      <c r="D244" s="10">
        <f t="shared" si="162"/>
        <v>7</v>
      </c>
      <c r="E244" s="10">
        <f t="shared" si="162"/>
        <v>7.7</v>
      </c>
      <c r="F244" s="10">
        <f t="shared" si="162"/>
        <v>7.1225000000000014</v>
      </c>
      <c r="G244" s="10">
        <f t="shared" si="162"/>
        <v>6.4102500000000013</v>
      </c>
      <c r="H244" s="10">
        <f t="shared" si="162"/>
        <v>5.7692250000000014</v>
      </c>
    </row>
    <row r="245" spans="1:12" s="1" customFormat="1" x14ac:dyDescent="0.2">
      <c r="A245" s="1" t="s">
        <v>263</v>
      </c>
      <c r="D245" s="83">
        <v>15</v>
      </c>
      <c r="E245" s="83">
        <v>15</v>
      </c>
      <c r="F245" s="83">
        <v>15</v>
      </c>
      <c r="G245" s="83">
        <v>15</v>
      </c>
      <c r="H245" s="83">
        <v>15</v>
      </c>
    </row>
    <row r="246" spans="1:12" s="1" customFormat="1" x14ac:dyDescent="0.2">
      <c r="A246" s="1" t="s">
        <v>264</v>
      </c>
      <c r="B246" s="1" t="s">
        <v>270</v>
      </c>
      <c r="D246" s="84">
        <f>D244*D245</f>
        <v>105</v>
      </c>
      <c r="E246" s="84">
        <f t="shared" ref="E246:H246" si="163">E244*E245</f>
        <v>115.5</v>
      </c>
      <c r="F246" s="84">
        <f t="shared" si="163"/>
        <v>106.83750000000002</v>
      </c>
      <c r="G246" s="84">
        <f t="shared" si="163"/>
        <v>96.153750000000016</v>
      </c>
      <c r="H246" s="84">
        <f t="shared" si="163"/>
        <v>86.538375000000016</v>
      </c>
    </row>
    <row r="247" spans="1:12" s="1" customFormat="1" x14ac:dyDescent="0.2">
      <c r="A247" s="1" t="s">
        <v>265</v>
      </c>
      <c r="D247" s="85">
        <v>0.3</v>
      </c>
      <c r="E247" s="85">
        <v>0.3</v>
      </c>
      <c r="F247" s="85">
        <v>0.3</v>
      </c>
      <c r="G247" s="85">
        <v>0.3</v>
      </c>
      <c r="H247" s="85">
        <v>0.3</v>
      </c>
    </row>
    <row r="248" spans="1:12" s="1" customFormat="1" x14ac:dyDescent="0.2">
      <c r="A248" s="1" t="s">
        <v>266</v>
      </c>
      <c r="B248" s="1" t="s">
        <v>270</v>
      </c>
      <c r="D248" s="84">
        <f>D246*D247</f>
        <v>31.5</v>
      </c>
      <c r="E248" s="84">
        <f t="shared" ref="E248:H248" si="164">E246*E247</f>
        <v>34.65</v>
      </c>
      <c r="F248" s="84">
        <f t="shared" si="164"/>
        <v>32.051250000000003</v>
      </c>
      <c r="G248" s="84">
        <f t="shared" si="164"/>
        <v>28.846125000000004</v>
      </c>
      <c r="H248" s="84">
        <f t="shared" si="164"/>
        <v>25.961512500000005</v>
      </c>
    </row>
    <row r="249" spans="1:12" s="1" customFormat="1" x14ac:dyDescent="0.2">
      <c r="D249" s="84"/>
      <c r="E249" s="84"/>
      <c r="F249" s="84"/>
      <c r="G249" s="84"/>
      <c r="H249" s="84"/>
    </row>
    <row r="250" spans="1:12" s="1" customFormat="1" x14ac:dyDescent="0.2">
      <c r="A250" s="1" t="s">
        <v>267</v>
      </c>
      <c r="D250" s="84">
        <f>$K$250*0.01</f>
        <v>20.3125</v>
      </c>
      <c r="E250" s="84">
        <f t="shared" ref="E250:H250" si="165">$K$250*0.01</f>
        <v>20.3125</v>
      </c>
      <c r="F250" s="84">
        <f t="shared" si="165"/>
        <v>20.3125</v>
      </c>
      <c r="G250" s="84">
        <f t="shared" si="165"/>
        <v>20.3125</v>
      </c>
      <c r="H250" s="84">
        <f t="shared" si="165"/>
        <v>20.3125</v>
      </c>
      <c r="K250" s="83">
        <f>(L208*2)+(L208*1.25)</f>
        <v>2031.25</v>
      </c>
      <c r="L250" s="1" t="s">
        <v>271</v>
      </c>
    </row>
    <row r="251" spans="1:12" s="1" customFormat="1" x14ac:dyDescent="0.2">
      <c r="A251" s="1" t="s">
        <v>269</v>
      </c>
      <c r="B251" s="1" t="s">
        <v>270</v>
      </c>
      <c r="D251" s="84">
        <f>D243*D250</f>
        <v>426.5625</v>
      </c>
      <c r="E251" s="84">
        <f t="shared" ref="E251:H251" si="166">E243*E250</f>
        <v>469.21875000000006</v>
      </c>
      <c r="F251" s="84">
        <f t="shared" si="166"/>
        <v>434.02734375000006</v>
      </c>
      <c r="G251" s="84">
        <f t="shared" si="166"/>
        <v>390.62460937500009</v>
      </c>
      <c r="H251" s="84">
        <f t="shared" si="166"/>
        <v>351.56214843750007</v>
      </c>
    </row>
    <row r="252" spans="1:12" s="1" customFormat="1" x14ac:dyDescent="0.2">
      <c r="A252" s="1" t="s">
        <v>173</v>
      </c>
      <c r="D252" s="85">
        <v>0.4</v>
      </c>
      <c r="E252" s="85">
        <v>0.4</v>
      </c>
      <c r="F252" s="85">
        <v>0.4</v>
      </c>
      <c r="G252" s="85">
        <v>0.4</v>
      </c>
      <c r="H252" s="85">
        <v>0.4</v>
      </c>
    </row>
    <row r="253" spans="1:12" s="1" customFormat="1" x14ac:dyDescent="0.2">
      <c r="A253" s="1" t="s">
        <v>272</v>
      </c>
      <c r="D253" s="84">
        <f>D251*D252</f>
        <v>170.625</v>
      </c>
      <c r="E253" s="84">
        <f t="shared" ref="E253:H253" si="167">E251*E252</f>
        <v>187.68750000000003</v>
      </c>
      <c r="F253" s="84">
        <f t="shared" si="167"/>
        <v>173.61093750000003</v>
      </c>
      <c r="G253" s="84">
        <f t="shared" si="167"/>
        <v>156.24984375000005</v>
      </c>
      <c r="H253" s="84">
        <f t="shared" si="167"/>
        <v>140.62485937500003</v>
      </c>
    </row>
    <row r="254" spans="1:12" s="1" customFormat="1" x14ac:dyDescent="0.2">
      <c r="D254" s="84"/>
      <c r="E254" s="84"/>
      <c r="F254" s="84"/>
      <c r="G254" s="84"/>
      <c r="H254" s="84"/>
    </row>
    <row r="255" spans="1:12" s="1" customFormat="1" x14ac:dyDescent="0.2">
      <c r="A255" s="77" t="s">
        <v>273</v>
      </c>
      <c r="B255" s="77"/>
      <c r="C255" s="77"/>
      <c r="D255" s="97">
        <f>D246+D251</f>
        <v>531.5625</v>
      </c>
      <c r="E255" s="97">
        <f t="shared" ref="E255:H255" si="168">E246+E251</f>
        <v>584.71875</v>
      </c>
      <c r="F255" s="97">
        <f t="shared" si="168"/>
        <v>540.86484375000009</v>
      </c>
      <c r="G255" s="97">
        <f t="shared" si="168"/>
        <v>486.77835937500009</v>
      </c>
      <c r="H255" s="97">
        <f t="shared" si="168"/>
        <v>438.1005234375001</v>
      </c>
    </row>
    <row r="256" spans="1:12" s="1" customFormat="1" x14ac:dyDescent="0.2">
      <c r="A256" s="77" t="s">
        <v>274</v>
      </c>
      <c r="B256" s="77"/>
      <c r="C256" s="77"/>
      <c r="D256" s="97">
        <f>D248+D253</f>
        <v>202.125</v>
      </c>
      <c r="E256" s="97">
        <f t="shared" ref="E256:H256" si="169">E248+E253</f>
        <v>222.33750000000003</v>
      </c>
      <c r="F256" s="97">
        <f t="shared" si="169"/>
        <v>205.66218750000004</v>
      </c>
      <c r="G256" s="97">
        <f t="shared" si="169"/>
        <v>185.09596875000005</v>
      </c>
      <c r="H256" s="97">
        <f t="shared" si="169"/>
        <v>166.58637187500003</v>
      </c>
    </row>
    <row r="257" spans="1:12" s="1" customFormat="1" x14ac:dyDescent="0.2">
      <c r="D257" s="84"/>
      <c r="E257" s="84"/>
      <c r="F257" s="84"/>
      <c r="G257" s="84"/>
      <c r="H257" s="84"/>
    </row>
    <row r="258" spans="1:12" s="1" customFormat="1" x14ac:dyDescent="0.2">
      <c r="D258" s="84"/>
      <c r="E258" s="84"/>
      <c r="F258" s="84"/>
      <c r="G258" s="84"/>
      <c r="H258" s="84"/>
    </row>
    <row r="259" spans="1:12" s="1" customFormat="1" x14ac:dyDescent="0.2">
      <c r="A259" s="65" t="s">
        <v>275</v>
      </c>
      <c r="D259" s="84"/>
      <c r="E259" s="84"/>
      <c r="F259" s="84"/>
      <c r="G259" s="84"/>
      <c r="H259" s="84"/>
    </row>
    <row r="260" spans="1:12" s="1" customFormat="1" x14ac:dyDescent="0.2">
      <c r="A260" s="1" t="s">
        <v>260</v>
      </c>
      <c r="B260" s="1">
        <v>15.2</v>
      </c>
      <c r="C260" s="1">
        <v>20</v>
      </c>
      <c r="D260" s="10">
        <f>C260*1.05</f>
        <v>21</v>
      </c>
      <c r="E260" s="10">
        <f t="shared" ref="E260:H260" si="170">D260*1.05</f>
        <v>22.05</v>
      </c>
      <c r="F260" s="10">
        <f t="shared" si="170"/>
        <v>23.152500000000003</v>
      </c>
      <c r="G260" s="10">
        <f t="shared" si="170"/>
        <v>24.310125000000003</v>
      </c>
      <c r="H260" s="10">
        <f t="shared" si="170"/>
        <v>25.525631250000004</v>
      </c>
      <c r="I260" s="1" t="s">
        <v>278</v>
      </c>
    </row>
    <row r="261" spans="1:12" s="1" customFormat="1" x14ac:dyDescent="0.2">
      <c r="A261" s="1" t="s">
        <v>262</v>
      </c>
      <c r="B261" s="10">
        <f>B260/3</f>
        <v>5.0666666666666664</v>
      </c>
      <c r="C261" s="10">
        <f t="shared" ref="C261" si="171">C260/3</f>
        <v>6.666666666666667</v>
      </c>
      <c r="D261" s="10">
        <f t="shared" ref="D261" si="172">D260/3</f>
        <v>7</v>
      </c>
      <c r="E261" s="10">
        <f t="shared" ref="E261" si="173">E260/3</f>
        <v>7.3500000000000005</v>
      </c>
      <c r="F261" s="10">
        <f t="shared" ref="F261" si="174">F260/3</f>
        <v>7.7175000000000011</v>
      </c>
      <c r="G261" s="10">
        <f t="shared" ref="G261" si="175">G260/3</f>
        <v>8.1033750000000015</v>
      </c>
      <c r="H261" s="10">
        <f t="shared" ref="H261" si="176">H260/3</f>
        <v>8.5085437500000012</v>
      </c>
    </row>
    <row r="262" spans="1:12" s="1" customFormat="1" x14ac:dyDescent="0.2">
      <c r="A262" s="1" t="s">
        <v>263</v>
      </c>
      <c r="D262" s="83">
        <v>15</v>
      </c>
      <c r="E262" s="83">
        <v>15</v>
      </c>
      <c r="F262" s="83">
        <v>15</v>
      </c>
      <c r="G262" s="83">
        <v>15</v>
      </c>
      <c r="H262" s="83">
        <v>15</v>
      </c>
    </row>
    <row r="263" spans="1:12" s="1" customFormat="1" x14ac:dyDescent="0.2">
      <c r="A263" s="1" t="s">
        <v>264</v>
      </c>
      <c r="B263" s="1" t="s">
        <v>270</v>
      </c>
      <c r="D263" s="84">
        <f>D261*D262</f>
        <v>105</v>
      </c>
      <c r="E263" s="84">
        <f t="shared" ref="E263" si="177">E261*E262</f>
        <v>110.25000000000001</v>
      </c>
      <c r="F263" s="84">
        <f t="shared" ref="F263" si="178">F261*F262</f>
        <v>115.76250000000002</v>
      </c>
      <c r="G263" s="84">
        <f t="shared" ref="G263" si="179">G261*G262</f>
        <v>121.55062500000003</v>
      </c>
      <c r="H263" s="84">
        <f t="shared" ref="H263" si="180">H261*H262</f>
        <v>127.62815625000002</v>
      </c>
    </row>
    <row r="264" spans="1:12" s="1" customFormat="1" x14ac:dyDescent="0.2">
      <c r="A264" s="1" t="s">
        <v>265</v>
      </c>
      <c r="D264" s="85">
        <v>0.3</v>
      </c>
      <c r="E264" s="85">
        <v>0.3</v>
      </c>
      <c r="F264" s="85">
        <v>0.3</v>
      </c>
      <c r="G264" s="85">
        <v>0.3</v>
      </c>
      <c r="H264" s="85">
        <v>0.3</v>
      </c>
    </row>
    <row r="265" spans="1:12" s="1" customFormat="1" x14ac:dyDescent="0.2">
      <c r="A265" s="1" t="s">
        <v>266</v>
      </c>
      <c r="B265" s="1" t="s">
        <v>270</v>
      </c>
      <c r="D265" s="84">
        <f>D263*D264</f>
        <v>31.5</v>
      </c>
      <c r="E265" s="84">
        <f t="shared" ref="E265" si="181">E263*E264</f>
        <v>33.075000000000003</v>
      </c>
      <c r="F265" s="84">
        <f t="shared" ref="F265" si="182">F263*F264</f>
        <v>34.728750000000005</v>
      </c>
      <c r="G265" s="84">
        <f t="shared" ref="G265" si="183">G263*G264</f>
        <v>36.465187500000006</v>
      </c>
      <c r="H265" s="84">
        <f t="shared" ref="H265" si="184">H263*H264</f>
        <v>38.288446875000005</v>
      </c>
    </row>
    <row r="266" spans="1:12" s="1" customFormat="1" x14ac:dyDescent="0.2">
      <c r="D266" s="84"/>
      <c r="E266" s="84"/>
      <c r="F266" s="84"/>
      <c r="G266" s="84"/>
      <c r="H266" s="84"/>
    </row>
    <row r="267" spans="1:12" s="1" customFormat="1" x14ac:dyDescent="0.2">
      <c r="A267" s="1" t="s">
        <v>267</v>
      </c>
      <c r="D267" s="84">
        <f>$K$267*0.01</f>
        <v>23.1</v>
      </c>
      <c r="E267" s="84">
        <f t="shared" ref="E267:H267" si="185">$K$267*0.01</f>
        <v>23.1</v>
      </c>
      <c r="F267" s="84">
        <f t="shared" si="185"/>
        <v>23.1</v>
      </c>
      <c r="G267" s="84">
        <f t="shared" si="185"/>
        <v>23.1</v>
      </c>
      <c r="H267" s="84">
        <f t="shared" si="185"/>
        <v>23.1</v>
      </c>
      <c r="K267" s="83">
        <f>(L216*1.75)+(L216*1.33)</f>
        <v>2310</v>
      </c>
      <c r="L267" s="1" t="s">
        <v>271</v>
      </c>
    </row>
    <row r="268" spans="1:12" s="1" customFormat="1" x14ac:dyDescent="0.2">
      <c r="A268" s="1" t="s">
        <v>269</v>
      </c>
      <c r="B268" s="1" t="s">
        <v>270</v>
      </c>
      <c r="D268" s="84">
        <f>D260*D267</f>
        <v>485.1</v>
      </c>
      <c r="E268" s="84">
        <f t="shared" ref="E268" si="186">E260*E267</f>
        <v>509.35500000000008</v>
      </c>
      <c r="F268" s="84">
        <f t="shared" ref="F268" si="187">F260*F267</f>
        <v>534.82275000000016</v>
      </c>
      <c r="G268" s="84">
        <f t="shared" ref="G268" si="188">G260*G267</f>
        <v>561.56388750000008</v>
      </c>
      <c r="H268" s="84">
        <f t="shared" ref="H268" si="189">H260*H267</f>
        <v>589.64208187500014</v>
      </c>
    </row>
    <row r="269" spans="1:12" s="1" customFormat="1" x14ac:dyDescent="0.2">
      <c r="A269" s="1" t="s">
        <v>173</v>
      </c>
      <c r="D269" s="86">
        <v>0.42499999999999999</v>
      </c>
      <c r="E269" s="86">
        <v>0.42499999999999999</v>
      </c>
      <c r="F269" s="86">
        <v>0.42499999999999999</v>
      </c>
      <c r="G269" s="86">
        <v>0.42499999999999999</v>
      </c>
      <c r="H269" s="86">
        <v>0.42499999999999999</v>
      </c>
    </row>
    <row r="270" spans="1:12" s="1" customFormat="1" x14ac:dyDescent="0.2">
      <c r="A270" s="1" t="s">
        <v>272</v>
      </c>
      <c r="D270" s="84">
        <f>D268*D269</f>
        <v>206.16750000000002</v>
      </c>
      <c r="E270" s="84">
        <f t="shared" ref="E270" si="190">E268*E269</f>
        <v>216.47587500000003</v>
      </c>
      <c r="F270" s="84">
        <f t="shared" ref="F270" si="191">F268*F269</f>
        <v>227.29966875000005</v>
      </c>
      <c r="G270" s="84">
        <f t="shared" ref="G270" si="192">G268*G269</f>
        <v>238.66465218750002</v>
      </c>
      <c r="H270" s="84">
        <f t="shared" ref="H270" si="193">H268*H269</f>
        <v>250.59788479687506</v>
      </c>
    </row>
    <row r="271" spans="1:12" s="1" customFormat="1" x14ac:dyDescent="0.2">
      <c r="D271" s="84"/>
      <c r="E271" s="84"/>
      <c r="F271" s="84"/>
      <c r="G271" s="84"/>
      <c r="H271" s="84"/>
    </row>
    <row r="272" spans="1:12" s="1" customFormat="1" x14ac:dyDescent="0.2">
      <c r="A272" s="74" t="s">
        <v>276</v>
      </c>
      <c r="B272" s="74"/>
      <c r="C272" s="74"/>
      <c r="D272" s="98">
        <f>D263+D268</f>
        <v>590.1</v>
      </c>
      <c r="E272" s="98">
        <f t="shared" ref="E272:H272" si="194">E263+E268</f>
        <v>619.60500000000013</v>
      </c>
      <c r="F272" s="98">
        <f t="shared" si="194"/>
        <v>650.5852500000002</v>
      </c>
      <c r="G272" s="98">
        <f t="shared" si="194"/>
        <v>683.11451250000005</v>
      </c>
      <c r="H272" s="98">
        <f t="shared" si="194"/>
        <v>717.27023812500011</v>
      </c>
    </row>
    <row r="273" spans="1:12" s="1" customFormat="1" x14ac:dyDescent="0.2">
      <c r="A273" s="74" t="s">
        <v>277</v>
      </c>
      <c r="B273" s="74"/>
      <c r="C273" s="74"/>
      <c r="D273" s="98">
        <f>D265+D270</f>
        <v>237.66750000000002</v>
      </c>
      <c r="E273" s="98">
        <f t="shared" ref="E273:H273" si="195">E265+E270</f>
        <v>249.55087500000002</v>
      </c>
      <c r="F273" s="98">
        <f t="shared" si="195"/>
        <v>262.02841875000007</v>
      </c>
      <c r="G273" s="98">
        <f t="shared" si="195"/>
        <v>275.12983968750001</v>
      </c>
      <c r="H273" s="98">
        <f t="shared" si="195"/>
        <v>288.88633167187504</v>
      </c>
    </row>
    <row r="274" spans="1:12" s="1" customFormat="1" x14ac:dyDescent="0.2">
      <c r="D274" s="84"/>
      <c r="E274" s="84"/>
      <c r="F274" s="84"/>
      <c r="G274" s="84"/>
      <c r="H274" s="84"/>
    </row>
    <row r="275" spans="1:12" s="1" customFormat="1" x14ac:dyDescent="0.2">
      <c r="D275" s="84"/>
      <c r="E275" s="84"/>
      <c r="F275" s="84"/>
      <c r="G275" s="84"/>
      <c r="H275" s="84"/>
    </row>
    <row r="276" spans="1:12" s="1" customFormat="1" x14ac:dyDescent="0.2">
      <c r="A276" s="40" t="s">
        <v>279</v>
      </c>
      <c r="D276" s="84"/>
      <c r="E276" s="84"/>
      <c r="F276" s="84"/>
      <c r="G276" s="84"/>
      <c r="H276" s="84"/>
    </row>
    <row r="277" spans="1:12" s="1" customFormat="1" x14ac:dyDescent="0.2">
      <c r="A277" s="1" t="s">
        <v>260</v>
      </c>
      <c r="B277" s="1">
        <v>15.2</v>
      </c>
      <c r="C277" s="1">
        <v>20</v>
      </c>
      <c r="D277" s="10">
        <f>C277*1.1</f>
        <v>22</v>
      </c>
      <c r="E277" s="10">
        <f t="shared" ref="E277:H277" si="196">D277*1.1</f>
        <v>24.200000000000003</v>
      </c>
      <c r="F277" s="10">
        <f t="shared" si="196"/>
        <v>26.620000000000005</v>
      </c>
      <c r="G277" s="10">
        <f t="shared" si="196"/>
        <v>29.282000000000007</v>
      </c>
      <c r="H277" s="10">
        <f t="shared" si="196"/>
        <v>32.210200000000007</v>
      </c>
      <c r="I277" s="1" t="s">
        <v>282</v>
      </c>
    </row>
    <row r="278" spans="1:12" s="1" customFormat="1" x14ac:dyDescent="0.2">
      <c r="A278" s="1" t="s">
        <v>262</v>
      </c>
      <c r="B278" s="10">
        <f>B277/3</f>
        <v>5.0666666666666664</v>
      </c>
      <c r="C278" s="10">
        <f t="shared" ref="C278" si="197">C277/3</f>
        <v>6.666666666666667</v>
      </c>
      <c r="D278" s="10">
        <f t="shared" ref="D278" si="198">D277/3</f>
        <v>7.333333333333333</v>
      </c>
      <c r="E278" s="10">
        <f t="shared" ref="E278" si="199">E277/3</f>
        <v>8.0666666666666682</v>
      </c>
      <c r="F278" s="10">
        <f t="shared" ref="F278" si="200">F277/3</f>
        <v>8.8733333333333348</v>
      </c>
      <c r="G278" s="10">
        <f t="shared" ref="G278" si="201">G277/3</f>
        <v>9.760666666666669</v>
      </c>
      <c r="H278" s="10">
        <f t="shared" ref="H278" si="202">H277/3</f>
        <v>10.736733333333335</v>
      </c>
    </row>
    <row r="279" spans="1:12" s="1" customFormat="1" x14ac:dyDescent="0.2">
      <c r="A279" s="1" t="s">
        <v>263</v>
      </c>
      <c r="D279" s="83">
        <v>15</v>
      </c>
      <c r="E279" s="83">
        <v>15</v>
      </c>
      <c r="F279" s="83">
        <v>15</v>
      </c>
      <c r="G279" s="83">
        <v>15</v>
      </c>
      <c r="H279" s="83">
        <v>15</v>
      </c>
    </row>
    <row r="280" spans="1:12" s="1" customFormat="1" x14ac:dyDescent="0.2">
      <c r="A280" s="1" t="s">
        <v>264</v>
      </c>
      <c r="B280" s="1" t="s">
        <v>270</v>
      </c>
      <c r="D280" s="84">
        <f>D278*D279</f>
        <v>110</v>
      </c>
      <c r="E280" s="84">
        <f t="shared" ref="E280" si="203">E278*E279</f>
        <v>121.00000000000003</v>
      </c>
      <c r="F280" s="84">
        <f t="shared" ref="F280" si="204">F278*F279</f>
        <v>133.10000000000002</v>
      </c>
      <c r="G280" s="84">
        <f t="shared" ref="G280" si="205">G278*G279</f>
        <v>146.41000000000003</v>
      </c>
      <c r="H280" s="84">
        <f t="shared" ref="H280" si="206">H278*H279</f>
        <v>161.05100000000002</v>
      </c>
    </row>
    <row r="281" spans="1:12" s="1" customFormat="1" x14ac:dyDescent="0.2">
      <c r="A281" s="1" t="s">
        <v>265</v>
      </c>
      <c r="D281" s="85">
        <v>0.3</v>
      </c>
      <c r="E281" s="85">
        <v>0.3</v>
      </c>
      <c r="F281" s="85">
        <v>0.3</v>
      </c>
      <c r="G281" s="85">
        <v>0.3</v>
      </c>
      <c r="H281" s="85">
        <v>0.3</v>
      </c>
    </row>
    <row r="282" spans="1:12" s="1" customFormat="1" x14ac:dyDescent="0.2">
      <c r="A282" s="1" t="s">
        <v>266</v>
      </c>
      <c r="B282" s="1" t="s">
        <v>270</v>
      </c>
      <c r="D282" s="84">
        <f>D280*D281</f>
        <v>33</v>
      </c>
      <c r="E282" s="84">
        <f t="shared" ref="E282" si="207">E280*E281</f>
        <v>36.300000000000004</v>
      </c>
      <c r="F282" s="84">
        <f t="shared" ref="F282" si="208">F280*F281</f>
        <v>39.930000000000007</v>
      </c>
      <c r="G282" s="84">
        <f t="shared" ref="G282" si="209">G280*G281</f>
        <v>43.923000000000009</v>
      </c>
      <c r="H282" s="84">
        <f t="shared" ref="H282" si="210">H280*H281</f>
        <v>48.315300000000001</v>
      </c>
    </row>
    <row r="283" spans="1:12" s="1" customFormat="1" x14ac:dyDescent="0.2">
      <c r="D283" s="84"/>
      <c r="E283" s="84"/>
      <c r="F283" s="84"/>
      <c r="G283" s="84"/>
      <c r="H283" s="84"/>
    </row>
    <row r="284" spans="1:12" s="1" customFormat="1" x14ac:dyDescent="0.2">
      <c r="A284" s="1" t="s">
        <v>267</v>
      </c>
      <c r="D284" s="84">
        <f>$K$284*0.01</f>
        <v>25.519375</v>
      </c>
      <c r="E284" s="84">
        <f t="shared" ref="E284:H284" si="211">$K$284*0.01</f>
        <v>25.519375</v>
      </c>
      <c r="F284" s="84">
        <f t="shared" si="211"/>
        <v>25.519375</v>
      </c>
      <c r="G284" s="84">
        <f t="shared" si="211"/>
        <v>25.519375</v>
      </c>
      <c r="H284" s="84">
        <f t="shared" si="211"/>
        <v>25.519375</v>
      </c>
      <c r="K284" s="83">
        <f>(L224*1.67)+(L224*1.4)</f>
        <v>2551.9375</v>
      </c>
      <c r="L284" s="1" t="s">
        <v>271</v>
      </c>
    </row>
    <row r="285" spans="1:12" s="1" customFormat="1" x14ac:dyDescent="0.2">
      <c r="A285" s="1" t="s">
        <v>269</v>
      </c>
      <c r="B285" s="1" t="s">
        <v>270</v>
      </c>
      <c r="D285" s="84">
        <f>D277*D284</f>
        <v>561.42624999999998</v>
      </c>
      <c r="E285" s="84">
        <f t="shared" ref="E285" si="212">E277*E284</f>
        <v>617.56887500000005</v>
      </c>
      <c r="F285" s="84">
        <f t="shared" ref="F285" si="213">F277*F284</f>
        <v>679.32576250000011</v>
      </c>
      <c r="G285" s="84">
        <f t="shared" ref="G285" si="214">G277*G284</f>
        <v>747.25833875000023</v>
      </c>
      <c r="H285" s="84">
        <f t="shared" ref="H285" si="215">H277*H284</f>
        <v>821.98417262500016</v>
      </c>
    </row>
    <row r="286" spans="1:12" s="1" customFormat="1" x14ac:dyDescent="0.2">
      <c r="A286" s="1" t="s">
        <v>173</v>
      </c>
      <c r="D286" s="85">
        <v>0.45</v>
      </c>
      <c r="E286" s="85">
        <v>0.45</v>
      </c>
      <c r="F286" s="85">
        <v>0.45</v>
      </c>
      <c r="G286" s="85">
        <v>0.45</v>
      </c>
      <c r="H286" s="85">
        <v>0.45</v>
      </c>
    </row>
    <row r="287" spans="1:12" s="1" customFormat="1" x14ac:dyDescent="0.2">
      <c r="A287" s="1" t="s">
        <v>272</v>
      </c>
      <c r="D287" s="84">
        <f>D285*D286</f>
        <v>252.64181249999999</v>
      </c>
      <c r="E287" s="84">
        <f t="shared" ref="E287" si="216">E285*E286</f>
        <v>277.90599375000005</v>
      </c>
      <c r="F287" s="84">
        <f t="shared" ref="F287" si="217">F285*F286</f>
        <v>305.69659312500005</v>
      </c>
      <c r="G287" s="84">
        <f t="shared" ref="G287" si="218">G285*G286</f>
        <v>336.2662524375001</v>
      </c>
      <c r="H287" s="84">
        <f t="shared" ref="H287" si="219">H285*H286</f>
        <v>369.89287768125007</v>
      </c>
    </row>
    <row r="288" spans="1:12" s="1" customFormat="1" x14ac:dyDescent="0.2">
      <c r="D288" s="84"/>
      <c r="E288" s="84"/>
      <c r="F288" s="84"/>
      <c r="G288" s="84"/>
      <c r="H288" s="84"/>
    </row>
    <row r="289" spans="1:8" s="1" customFormat="1" x14ac:dyDescent="0.2">
      <c r="A289" s="80" t="s">
        <v>280</v>
      </c>
      <c r="B289" s="80"/>
      <c r="C289" s="80"/>
      <c r="D289" s="100">
        <f>D280+D285</f>
        <v>671.42624999999998</v>
      </c>
      <c r="E289" s="100">
        <f t="shared" ref="E289:H289" si="220">E280+E285</f>
        <v>738.56887500000005</v>
      </c>
      <c r="F289" s="100">
        <f t="shared" si="220"/>
        <v>812.42576250000013</v>
      </c>
      <c r="G289" s="100">
        <f t="shared" si="220"/>
        <v>893.6683387500002</v>
      </c>
      <c r="H289" s="100">
        <f t="shared" si="220"/>
        <v>983.0351726250002</v>
      </c>
    </row>
    <row r="290" spans="1:8" s="1" customFormat="1" x14ac:dyDescent="0.2">
      <c r="A290" s="80" t="s">
        <v>281</v>
      </c>
      <c r="B290" s="80"/>
      <c r="C290" s="80"/>
      <c r="D290" s="100">
        <f>D282+D287</f>
        <v>285.64181250000001</v>
      </c>
      <c r="E290" s="100">
        <f t="shared" ref="E290:H290" si="221">E282+E287</f>
        <v>314.20599375000006</v>
      </c>
      <c r="F290" s="100">
        <f t="shared" si="221"/>
        <v>345.62659312500006</v>
      </c>
      <c r="G290" s="100">
        <f t="shared" si="221"/>
        <v>380.1892524375001</v>
      </c>
      <c r="H290" s="100">
        <f t="shared" si="221"/>
        <v>418.20817768125005</v>
      </c>
    </row>
    <row r="291" spans="1:8" s="1" customFormat="1" x14ac:dyDescent="0.2">
      <c r="A291" s="53"/>
      <c r="B291" s="53"/>
      <c r="C291" s="53"/>
      <c r="D291" s="53"/>
      <c r="E291" s="53"/>
      <c r="F291" s="53"/>
      <c r="G291" s="53"/>
      <c r="H291" s="53"/>
    </row>
    <row r="292" spans="1:8" x14ac:dyDescent="0.2">
      <c r="A292" t="s">
        <v>175</v>
      </c>
    </row>
    <row r="294" spans="1:8" x14ac:dyDescent="0.2">
      <c r="A294" s="77" t="s">
        <v>192</v>
      </c>
      <c r="B294" s="77"/>
      <c r="C294" s="92"/>
      <c r="D294" s="93">
        <f>D80</f>
        <v>2944.1976600000003</v>
      </c>
      <c r="E294" s="93">
        <f t="shared" ref="E294:H294" si="222">E80</f>
        <v>3282.1975520000005</v>
      </c>
      <c r="F294" s="93">
        <f t="shared" si="222"/>
        <v>3401.4187568000007</v>
      </c>
      <c r="G294" s="93">
        <f t="shared" si="222"/>
        <v>3187.6093329600003</v>
      </c>
      <c r="H294" s="93">
        <f t="shared" si="222"/>
        <v>2774.0339296800003</v>
      </c>
    </row>
    <row r="295" spans="1:8" x14ac:dyDescent="0.2">
      <c r="A295" s="77" t="s">
        <v>193</v>
      </c>
      <c r="B295" s="77"/>
      <c r="C295" s="92"/>
      <c r="D295" s="93">
        <f>D195</f>
        <v>397.32982392448719</v>
      </c>
      <c r="E295" s="93">
        <f>E195</f>
        <v>437.06280631693596</v>
      </c>
      <c r="F295" s="93">
        <f>F195</f>
        <v>458.91594663278278</v>
      </c>
      <c r="G295" s="93">
        <f>G195</f>
        <v>424.49725063532412</v>
      </c>
      <c r="H295" s="93">
        <f>H195</f>
        <v>360.82266304002547</v>
      </c>
    </row>
    <row r="296" spans="1:8" x14ac:dyDescent="0.2">
      <c r="A296" s="77" t="s">
        <v>255</v>
      </c>
      <c r="B296" s="77"/>
      <c r="C296" s="92"/>
      <c r="D296" s="93">
        <f>D213</f>
        <v>3.9787199999999996</v>
      </c>
      <c r="E296" s="93">
        <f>E213</f>
        <v>6.2175599999999998</v>
      </c>
      <c r="F296" s="93">
        <f>F213</f>
        <v>7.8557039999999985</v>
      </c>
      <c r="G296" s="93">
        <f>G213</f>
        <v>8.7994512</v>
      </c>
      <c r="H296" s="93">
        <f>H213</f>
        <v>9.3030249600000001</v>
      </c>
    </row>
    <row r="297" spans="1:8" x14ac:dyDescent="0.2">
      <c r="A297" s="77" t="s">
        <v>198</v>
      </c>
      <c r="B297" s="77"/>
      <c r="C297" s="92"/>
      <c r="D297" s="93">
        <f>D294+D295+D296</f>
        <v>3345.5062039244876</v>
      </c>
      <c r="E297" s="93">
        <f t="shared" ref="E297:H297" si="223">E294+E295+E296</f>
        <v>3725.4779183169367</v>
      </c>
      <c r="F297" s="93">
        <f t="shared" si="223"/>
        <v>3868.1904074327836</v>
      </c>
      <c r="G297" s="93">
        <f t="shared" si="223"/>
        <v>3620.9060347953246</v>
      </c>
      <c r="H297" s="93">
        <f t="shared" si="223"/>
        <v>3144.1596176800258</v>
      </c>
    </row>
    <row r="298" spans="1:8" x14ac:dyDescent="0.2">
      <c r="A298" s="77" t="s">
        <v>221</v>
      </c>
      <c r="B298" s="77"/>
      <c r="C298" s="92"/>
      <c r="D298" s="93">
        <f>D81</f>
        <v>813.43765380000002</v>
      </c>
      <c r="E298" s="93">
        <f t="shared" ref="E298:H298" si="224">E81</f>
        <v>911.38390336000009</v>
      </c>
      <c r="F298" s="93">
        <f t="shared" si="224"/>
        <v>948.03065302400012</v>
      </c>
      <c r="G298" s="93">
        <f t="shared" si="224"/>
        <v>912.36245417280008</v>
      </c>
      <c r="H298" s="93">
        <f t="shared" si="224"/>
        <v>824.82457908960009</v>
      </c>
    </row>
    <row r="299" spans="1:8" x14ac:dyDescent="0.2">
      <c r="A299" s="77" t="s">
        <v>222</v>
      </c>
      <c r="B299" s="77"/>
      <c r="C299" s="92"/>
      <c r="D299" s="93">
        <f>D201</f>
        <v>131.11884189508078</v>
      </c>
      <c r="E299" s="93">
        <f>E201</f>
        <v>144.23072608458887</v>
      </c>
      <c r="F299" s="93">
        <f>F201</f>
        <v>151.44226238881834</v>
      </c>
      <c r="G299" s="93">
        <f>G201</f>
        <v>140.08409270965697</v>
      </c>
      <c r="H299" s="93">
        <f>H201</f>
        <v>119.07147880320841</v>
      </c>
    </row>
    <row r="300" spans="1:8" x14ac:dyDescent="0.2">
      <c r="A300" s="77" t="s">
        <v>253</v>
      </c>
      <c r="B300" s="77"/>
      <c r="C300" s="92"/>
      <c r="D300" s="93">
        <f>D296</f>
        <v>3.9787199999999996</v>
      </c>
      <c r="E300" s="93">
        <f t="shared" ref="E300:H300" si="225">E296</f>
        <v>6.2175599999999998</v>
      </c>
      <c r="F300" s="93">
        <f t="shared" si="225"/>
        <v>7.8557039999999985</v>
      </c>
      <c r="G300" s="93">
        <f t="shared" si="225"/>
        <v>8.7994512</v>
      </c>
      <c r="H300" s="93">
        <f t="shared" si="225"/>
        <v>9.3030249600000001</v>
      </c>
    </row>
    <row r="301" spans="1:8" x14ac:dyDescent="0.2">
      <c r="A301" s="77" t="s">
        <v>223</v>
      </c>
      <c r="B301" s="77"/>
      <c r="C301" s="92"/>
      <c r="D301" s="93">
        <f>D298+D299+D300</f>
        <v>948.53521569508075</v>
      </c>
      <c r="E301" s="93">
        <f t="shared" ref="E301:H301" si="226">E298+E299+E300</f>
        <v>1061.8321894445889</v>
      </c>
      <c r="F301" s="93">
        <f t="shared" si="226"/>
        <v>1107.3286194128186</v>
      </c>
      <c r="G301" s="93">
        <f t="shared" si="226"/>
        <v>1061.2459980824572</v>
      </c>
      <c r="H301" s="93">
        <f t="shared" si="226"/>
        <v>953.19908285280849</v>
      </c>
    </row>
    <row r="302" spans="1:8" x14ac:dyDescent="0.2">
      <c r="A302" s="77" t="s">
        <v>197</v>
      </c>
      <c r="B302" s="77"/>
      <c r="C302" s="92"/>
      <c r="D302" s="94">
        <f>D301/D297</f>
        <v>0.2835251701468644</v>
      </c>
      <c r="E302" s="94">
        <f t="shared" ref="E302:H302" si="227">E301/E297</f>
        <v>0.28501905332035737</v>
      </c>
      <c r="F302" s="94">
        <f t="shared" si="227"/>
        <v>0.28626528241346927</v>
      </c>
      <c r="G302" s="94">
        <f t="shared" si="227"/>
        <v>0.29308852201199009</v>
      </c>
      <c r="H302" s="94">
        <f t="shared" si="227"/>
        <v>0.30316497848672946</v>
      </c>
    </row>
    <row r="303" spans="1:8" x14ac:dyDescent="0.2">
      <c r="A303" s="77"/>
      <c r="B303" s="77"/>
      <c r="C303" s="92"/>
      <c r="D303" s="92"/>
      <c r="E303" s="92"/>
      <c r="F303" s="92"/>
      <c r="G303" s="92"/>
      <c r="H303" s="92"/>
    </row>
    <row r="304" spans="1:8" x14ac:dyDescent="0.2">
      <c r="A304" s="77" t="s">
        <v>200</v>
      </c>
      <c r="B304" s="77"/>
      <c r="C304" s="92"/>
      <c r="D304" s="95">
        <v>0.27500000000000002</v>
      </c>
      <c r="E304" s="95">
        <f>D304</f>
        <v>0.27500000000000002</v>
      </c>
      <c r="F304" s="95">
        <f t="shared" ref="F304:H304" si="228">E304</f>
        <v>0.27500000000000002</v>
      </c>
      <c r="G304" s="95">
        <f t="shared" si="228"/>
        <v>0.27500000000000002</v>
      </c>
      <c r="H304" s="95">
        <f t="shared" si="228"/>
        <v>0.27500000000000002</v>
      </c>
    </row>
    <row r="305" spans="1:10" x14ac:dyDescent="0.2">
      <c r="A305" s="77" t="s">
        <v>201</v>
      </c>
      <c r="B305" s="77"/>
      <c r="C305" s="92"/>
      <c r="D305" s="93">
        <f>D297*D304</f>
        <v>920.01420607923421</v>
      </c>
      <c r="E305" s="93">
        <f>E297*E304</f>
        <v>1024.5064275371576</v>
      </c>
      <c r="F305" s="93">
        <f>F297*F304</f>
        <v>1063.7523620440156</v>
      </c>
      <c r="G305" s="93">
        <f>G297*G304</f>
        <v>995.74915956871439</v>
      </c>
      <c r="H305" s="93">
        <f>H297*H304</f>
        <v>864.64389486200719</v>
      </c>
    </row>
    <row r="306" spans="1:10" x14ac:dyDescent="0.2">
      <c r="A306" s="77" t="s">
        <v>212</v>
      </c>
      <c r="B306" s="77"/>
      <c r="C306" s="92"/>
      <c r="D306" s="96">
        <v>0.05</v>
      </c>
      <c r="E306" s="96">
        <f>D306</f>
        <v>0.05</v>
      </c>
      <c r="F306" s="96">
        <f t="shared" ref="F306:H306" si="229">E306</f>
        <v>0.05</v>
      </c>
      <c r="G306" s="96">
        <f t="shared" si="229"/>
        <v>0.05</v>
      </c>
      <c r="H306" s="96">
        <f t="shared" si="229"/>
        <v>0.05</v>
      </c>
    </row>
    <row r="307" spans="1:10" x14ac:dyDescent="0.2">
      <c r="A307" s="77" t="s">
        <v>202</v>
      </c>
      <c r="B307" s="77"/>
      <c r="C307" s="92"/>
      <c r="D307" s="93">
        <f>D305*D306</f>
        <v>46.000710303961711</v>
      </c>
      <c r="E307" s="93">
        <f t="shared" ref="E307:H307" si="230">E305*E306</f>
        <v>51.225321376857885</v>
      </c>
      <c r="F307" s="93">
        <f t="shared" si="230"/>
        <v>53.187618102200787</v>
      </c>
      <c r="G307" s="93">
        <f t="shared" si="230"/>
        <v>49.787457978435725</v>
      </c>
      <c r="H307" s="93">
        <f t="shared" si="230"/>
        <v>43.232194743100365</v>
      </c>
    </row>
    <row r="308" spans="1:10" x14ac:dyDescent="0.2">
      <c r="A308" s="77"/>
      <c r="B308" s="77"/>
      <c r="C308" s="92"/>
      <c r="D308" s="92"/>
      <c r="E308" s="92"/>
      <c r="F308" s="92"/>
      <c r="G308" s="92"/>
      <c r="H308" s="92"/>
    </row>
    <row r="309" spans="1:10" x14ac:dyDescent="0.2">
      <c r="A309" s="77" t="s">
        <v>203</v>
      </c>
      <c r="B309" s="77"/>
      <c r="C309" s="92"/>
      <c r="D309" s="93">
        <f>D297-D305</f>
        <v>2425.4919978452535</v>
      </c>
      <c r="E309" s="93">
        <f>E297-E305</f>
        <v>2700.9714907797788</v>
      </c>
      <c r="F309" s="93">
        <f>F297-F305</f>
        <v>2804.4380453887679</v>
      </c>
      <c r="G309" s="93">
        <f>G297-G305</f>
        <v>2625.1568752266103</v>
      </c>
      <c r="H309" s="93">
        <f>H297-H305</f>
        <v>2279.5157228180187</v>
      </c>
    </row>
    <row r="310" spans="1:10" x14ac:dyDescent="0.2">
      <c r="A310" s="77" t="s">
        <v>206</v>
      </c>
      <c r="B310" s="77"/>
      <c r="C310" s="92"/>
      <c r="D310" s="93">
        <f>D305</f>
        <v>920.01420607923421</v>
      </c>
      <c r="E310" s="93">
        <f t="shared" ref="E310:H310" si="231">E305</f>
        <v>1024.5064275371576</v>
      </c>
      <c r="F310" s="93">
        <f t="shared" si="231"/>
        <v>1063.7523620440156</v>
      </c>
      <c r="G310" s="93">
        <f t="shared" si="231"/>
        <v>995.74915956871439</v>
      </c>
      <c r="H310" s="93">
        <f t="shared" si="231"/>
        <v>864.64389486200719</v>
      </c>
    </row>
    <row r="311" spans="1:10" x14ac:dyDescent="0.2">
      <c r="A311" s="77" t="s">
        <v>181</v>
      </c>
      <c r="B311" s="77"/>
      <c r="C311" s="92"/>
      <c r="D311" s="93">
        <f>D309+D310</f>
        <v>3345.5062039244876</v>
      </c>
      <c r="E311" s="93">
        <f t="shared" ref="E311:H311" si="232">E309+E310</f>
        <v>3725.4779183169367</v>
      </c>
      <c r="F311" s="93">
        <f t="shared" si="232"/>
        <v>3868.1904074327836</v>
      </c>
      <c r="G311" s="93">
        <f t="shared" si="232"/>
        <v>3620.9060347953246</v>
      </c>
      <c r="H311" s="93">
        <f t="shared" si="232"/>
        <v>3144.1596176800258</v>
      </c>
    </row>
    <row r="312" spans="1:10" x14ac:dyDescent="0.2">
      <c r="A312" s="77" t="s">
        <v>204</v>
      </c>
      <c r="B312" s="77"/>
      <c r="C312" s="92"/>
      <c r="D312" s="93">
        <f>D301-D307</f>
        <v>902.53450539111907</v>
      </c>
      <c r="E312" s="93">
        <f t="shared" ref="E312:H312" si="233">E301-E307</f>
        <v>1010.6068680677311</v>
      </c>
      <c r="F312" s="93">
        <f t="shared" si="233"/>
        <v>1054.1410013106179</v>
      </c>
      <c r="G312" s="93">
        <f t="shared" si="233"/>
        <v>1011.4585401040215</v>
      </c>
      <c r="H312" s="93">
        <f t="shared" si="233"/>
        <v>909.96688810970818</v>
      </c>
      <c r="J312" s="61">
        <f>AVERAGE(D312:H312)</f>
        <v>977.74156059663949</v>
      </c>
    </row>
    <row r="313" spans="1:10" x14ac:dyDescent="0.2">
      <c r="A313" s="77" t="s">
        <v>205</v>
      </c>
      <c r="B313" s="77"/>
      <c r="C313" s="92"/>
      <c r="D313" s="94">
        <f>D312/D311</f>
        <v>0.26977517014686442</v>
      </c>
      <c r="E313" s="94">
        <f>E312/E311</f>
        <v>0.27126905332035739</v>
      </c>
      <c r="F313" s="94">
        <f t="shared" ref="F313:H313" si="234">F312/F311</f>
        <v>0.27251528241346928</v>
      </c>
      <c r="G313" s="94">
        <f t="shared" si="234"/>
        <v>0.27933852201199011</v>
      </c>
      <c r="H313" s="94">
        <f t="shared" si="234"/>
        <v>0.28941497848672948</v>
      </c>
    </row>
    <row r="314" spans="1:10" x14ac:dyDescent="0.2">
      <c r="A314" s="77"/>
      <c r="B314" s="77"/>
      <c r="C314" s="92"/>
      <c r="D314" s="92"/>
      <c r="E314" s="92"/>
      <c r="F314" s="92"/>
      <c r="G314" s="92"/>
      <c r="H314" s="92"/>
    </row>
    <row r="315" spans="1:10" x14ac:dyDescent="0.2">
      <c r="A315" s="77" t="s">
        <v>213</v>
      </c>
      <c r="B315" s="77"/>
      <c r="C315" s="92"/>
      <c r="D315" s="94">
        <f>D310/D311</f>
        <v>0.27500000000000002</v>
      </c>
      <c r="E315" s="94">
        <f t="shared" ref="E315:H315" si="235">E310/E311</f>
        <v>0.27500000000000002</v>
      </c>
      <c r="F315" s="94">
        <f t="shared" si="235"/>
        <v>0.27500000000000002</v>
      </c>
      <c r="G315" s="94">
        <f t="shared" si="235"/>
        <v>0.27500000000000002</v>
      </c>
      <c r="H315" s="94">
        <f t="shared" si="235"/>
        <v>0.27500000000000002</v>
      </c>
    </row>
    <row r="317" spans="1:10" x14ac:dyDescent="0.2">
      <c r="A317" s="74" t="s">
        <v>207</v>
      </c>
      <c r="B317" s="74"/>
      <c r="C317" s="92"/>
      <c r="D317" s="93">
        <f>D131</f>
        <v>3409.3171920000004</v>
      </c>
      <c r="E317" s="93">
        <f t="shared" ref="E317:H317" si="236">E131</f>
        <v>3850.9410624000002</v>
      </c>
      <c r="F317" s="93">
        <f t="shared" si="236"/>
        <v>3992.7654081599994</v>
      </c>
      <c r="G317" s="93">
        <f t="shared" si="236"/>
        <v>3740.6307359520001</v>
      </c>
      <c r="H317" s="93">
        <f t="shared" si="236"/>
        <v>3248.244083304</v>
      </c>
    </row>
    <row r="318" spans="1:10" x14ac:dyDescent="0.2">
      <c r="A318" s="74" t="s">
        <v>208</v>
      </c>
      <c r="B318" s="74"/>
      <c r="C318" s="92"/>
      <c r="D318" s="93">
        <f>D196</f>
        <v>474.08672172808133</v>
      </c>
      <c r="E318" s="93">
        <f>E196</f>
        <v>521.49539390088955</v>
      </c>
      <c r="F318" s="93">
        <f>F196</f>
        <v>560.60754844345615</v>
      </c>
      <c r="G318" s="93">
        <f>G196</f>
        <v>588.63792586562897</v>
      </c>
      <c r="H318" s="93">
        <f>H196</f>
        <v>603.35387401226967</v>
      </c>
    </row>
    <row r="319" spans="1:10" x14ac:dyDescent="0.2">
      <c r="A319" s="74" t="s">
        <v>254</v>
      </c>
      <c r="B319" s="74"/>
      <c r="C319" s="92"/>
      <c r="D319" s="93">
        <f>D221</f>
        <v>8.4879359999999995</v>
      </c>
      <c r="E319" s="93">
        <f>E221</f>
        <v>13.264127999999999</v>
      </c>
      <c r="F319" s="93">
        <f>F221</f>
        <v>16.7588352</v>
      </c>
      <c r="G319" s="93">
        <f>G221</f>
        <v>18.772162559999998</v>
      </c>
      <c r="H319" s="93">
        <f>H221</f>
        <v>19.846453248</v>
      </c>
    </row>
    <row r="320" spans="1:10" x14ac:dyDescent="0.2">
      <c r="A320" s="74" t="s">
        <v>209</v>
      </c>
      <c r="B320" s="74"/>
      <c r="C320" s="92"/>
      <c r="D320" s="93">
        <f>D317+D318+D319</f>
        <v>3891.8918497280815</v>
      </c>
      <c r="E320" s="93">
        <f t="shared" ref="E320:H320" si="237">E317+E318+E319</f>
        <v>4385.7005843008892</v>
      </c>
      <c r="F320" s="93">
        <f t="shared" si="237"/>
        <v>4570.1317918034556</v>
      </c>
      <c r="G320" s="93">
        <f t="shared" si="237"/>
        <v>4348.0408243776292</v>
      </c>
      <c r="H320" s="93">
        <f t="shared" si="237"/>
        <v>3871.4444105642697</v>
      </c>
    </row>
    <row r="321" spans="1:9" x14ac:dyDescent="0.2">
      <c r="A321" s="74" t="s">
        <v>225</v>
      </c>
      <c r="B321" s="74"/>
      <c r="C321" s="92"/>
      <c r="D321" s="93">
        <f>D132</f>
        <v>913.05978456000003</v>
      </c>
      <c r="E321" s="93">
        <f t="shared" ref="E321:H321" si="238">E132</f>
        <v>1046.2985440319999</v>
      </c>
      <c r="F321" s="93">
        <f t="shared" si="238"/>
        <v>1089.4915032288</v>
      </c>
      <c r="G321" s="93">
        <f t="shared" si="238"/>
        <v>1047.7156800873599</v>
      </c>
      <c r="H321" s="93">
        <f t="shared" si="238"/>
        <v>943.51787366832002</v>
      </c>
    </row>
    <row r="322" spans="1:9" x14ac:dyDescent="0.2">
      <c r="A322" s="74" t="s">
        <v>224</v>
      </c>
      <c r="B322" s="74"/>
      <c r="C322" s="92"/>
      <c r="D322" s="93">
        <f>D202</f>
        <v>156.44861817026685</v>
      </c>
      <c r="E322" s="93">
        <f>E202</f>
        <v>172.09347998729356</v>
      </c>
      <c r="F322" s="93">
        <f>F202</f>
        <v>185.00049098634054</v>
      </c>
      <c r="G322" s="93">
        <f>G202</f>
        <v>194.25051553565757</v>
      </c>
      <c r="H322" s="93">
        <f>H202</f>
        <v>199.106778424049</v>
      </c>
    </row>
    <row r="323" spans="1:9" x14ac:dyDescent="0.2">
      <c r="A323" s="74" t="s">
        <v>254</v>
      </c>
      <c r="B323" s="74"/>
      <c r="C323" s="92"/>
      <c r="D323" s="93">
        <f>D319</f>
        <v>8.4879359999999995</v>
      </c>
      <c r="E323" s="93">
        <f t="shared" ref="E323:H323" si="239">E319</f>
        <v>13.264127999999999</v>
      </c>
      <c r="F323" s="93">
        <f t="shared" si="239"/>
        <v>16.7588352</v>
      </c>
      <c r="G323" s="93">
        <f t="shared" si="239"/>
        <v>18.772162559999998</v>
      </c>
      <c r="H323" s="93">
        <f t="shared" si="239"/>
        <v>19.846453248</v>
      </c>
    </row>
    <row r="324" spans="1:9" x14ac:dyDescent="0.2">
      <c r="A324" s="74" t="s">
        <v>226</v>
      </c>
      <c r="B324" s="74"/>
      <c r="C324" s="92"/>
      <c r="D324" s="93">
        <f>D321+D322+D323</f>
        <v>1077.9963387302669</v>
      </c>
      <c r="E324" s="93">
        <f t="shared" ref="E324:H324" si="240">E321+E322+E323</f>
        <v>1231.6561520192934</v>
      </c>
      <c r="F324" s="93">
        <f t="shared" si="240"/>
        <v>1291.2508294151405</v>
      </c>
      <c r="G324" s="93">
        <f t="shared" si="240"/>
        <v>1260.7383581830175</v>
      </c>
      <c r="H324" s="93">
        <f t="shared" si="240"/>
        <v>1162.4711053403689</v>
      </c>
    </row>
    <row r="325" spans="1:9" x14ac:dyDescent="0.2">
      <c r="A325" s="74" t="s">
        <v>210</v>
      </c>
      <c r="B325" s="74"/>
      <c r="C325" s="92"/>
      <c r="D325" s="94">
        <f>D324/D320</f>
        <v>0.27698517336898359</v>
      </c>
      <c r="E325" s="94">
        <f t="shared" ref="E325:H325" si="241">E324/E320</f>
        <v>0.2808345276529241</v>
      </c>
      <c r="F325" s="94">
        <f t="shared" si="241"/>
        <v>0.28254126756935161</v>
      </c>
      <c r="G325" s="94">
        <f t="shared" si="241"/>
        <v>0.28995550159386491</v>
      </c>
      <c r="H325" s="94">
        <f t="shared" si="241"/>
        <v>0.30026806071869616</v>
      </c>
    </row>
    <row r="326" spans="1:9" x14ac:dyDescent="0.2">
      <c r="A326" s="74"/>
      <c r="B326" s="74"/>
      <c r="C326" s="92"/>
      <c r="D326" s="92"/>
      <c r="E326" s="92"/>
      <c r="F326" s="92"/>
      <c r="G326" s="92"/>
      <c r="H326" s="92"/>
    </row>
    <row r="327" spans="1:9" x14ac:dyDescent="0.2">
      <c r="A327" s="74" t="s">
        <v>200</v>
      </c>
      <c r="B327" s="74"/>
      <c r="C327" s="92"/>
      <c r="D327" s="96">
        <v>0.32500000000000001</v>
      </c>
      <c r="E327" s="96">
        <f>D327+1.25%</f>
        <v>0.33750000000000002</v>
      </c>
      <c r="F327" s="96">
        <f t="shared" ref="F327:H327" si="242">E327+1.25%</f>
        <v>0.35000000000000003</v>
      </c>
      <c r="G327" s="96">
        <f t="shared" si="242"/>
        <v>0.36250000000000004</v>
      </c>
      <c r="H327" s="96">
        <f t="shared" si="242"/>
        <v>0.37500000000000006</v>
      </c>
    </row>
    <row r="328" spans="1:9" x14ac:dyDescent="0.2">
      <c r="A328" s="74" t="s">
        <v>201</v>
      </c>
      <c r="B328" s="74"/>
      <c r="C328" s="92"/>
      <c r="D328" s="93">
        <f>D320*D327</f>
        <v>1264.8648511616266</v>
      </c>
      <c r="E328" s="93">
        <f t="shared" ref="E328:H328" si="243">E320*E327</f>
        <v>1480.1739472015502</v>
      </c>
      <c r="F328" s="93">
        <f t="shared" si="243"/>
        <v>1599.5461271312097</v>
      </c>
      <c r="G328" s="93">
        <f t="shared" si="243"/>
        <v>1576.1647988368907</v>
      </c>
      <c r="H328" s="93">
        <f t="shared" si="243"/>
        <v>1451.7916539616012</v>
      </c>
    </row>
    <row r="329" spans="1:9" x14ac:dyDescent="0.2">
      <c r="A329" s="74" t="s">
        <v>212</v>
      </c>
      <c r="B329" s="74"/>
      <c r="C329" s="92"/>
      <c r="D329" s="96">
        <v>0.05</v>
      </c>
      <c r="E329" s="96">
        <f>D329</f>
        <v>0.05</v>
      </c>
      <c r="F329" s="96">
        <f t="shared" ref="F329:H329" si="244">E329</f>
        <v>0.05</v>
      </c>
      <c r="G329" s="96">
        <f t="shared" si="244"/>
        <v>0.05</v>
      </c>
      <c r="H329" s="96">
        <f t="shared" si="244"/>
        <v>0.05</v>
      </c>
    </row>
    <row r="330" spans="1:9" x14ac:dyDescent="0.2">
      <c r="A330" s="74" t="s">
        <v>202</v>
      </c>
      <c r="B330" s="74"/>
      <c r="C330" s="92"/>
      <c r="D330" s="93">
        <f>D328*D329</f>
        <v>63.243242558081334</v>
      </c>
      <c r="E330" s="93">
        <f t="shared" ref="E330:H330" si="245">E328*E329</f>
        <v>74.008697360077505</v>
      </c>
      <c r="F330" s="93">
        <f t="shared" si="245"/>
        <v>79.97730635656049</v>
      </c>
      <c r="G330" s="93">
        <f t="shared" si="245"/>
        <v>78.808239941844533</v>
      </c>
      <c r="H330" s="93">
        <f t="shared" si="245"/>
        <v>72.589582698080065</v>
      </c>
    </row>
    <row r="331" spans="1:9" x14ac:dyDescent="0.2">
      <c r="A331" s="74"/>
      <c r="B331" s="74"/>
      <c r="C331" s="92"/>
      <c r="D331" s="92"/>
      <c r="E331" s="92"/>
      <c r="F331" s="92"/>
      <c r="G331" s="92"/>
      <c r="H331" s="92"/>
    </row>
    <row r="332" spans="1:9" x14ac:dyDescent="0.2">
      <c r="A332" s="74" t="s">
        <v>211</v>
      </c>
      <c r="B332" s="74"/>
      <c r="C332" s="92"/>
      <c r="D332" s="93">
        <f>D328*0.15</f>
        <v>189.72972767424397</v>
      </c>
      <c r="E332" s="93">
        <f>E328*0.15</f>
        <v>222.02609208023253</v>
      </c>
      <c r="F332" s="93">
        <f>F328*0.15</f>
        <v>239.93191906968144</v>
      </c>
      <c r="G332" s="93">
        <f>G328*0.15</f>
        <v>236.4247198255336</v>
      </c>
      <c r="H332" s="93">
        <f>H328*0.15</f>
        <v>217.76874809424018</v>
      </c>
      <c r="I332" t="s">
        <v>216</v>
      </c>
    </row>
    <row r="333" spans="1:9" x14ac:dyDescent="0.2">
      <c r="A333" s="74" t="s">
        <v>217</v>
      </c>
      <c r="B333" s="74"/>
      <c r="C333" s="92"/>
      <c r="D333" s="94">
        <f>D325*0.975</f>
        <v>0.27006054403475899</v>
      </c>
      <c r="E333" s="94">
        <f t="shared" ref="E333:H333" si="246">E325*0.975</f>
        <v>0.27381366446160099</v>
      </c>
      <c r="F333" s="94">
        <f t="shared" si="246"/>
        <v>0.27547773588011781</v>
      </c>
      <c r="G333" s="94">
        <f t="shared" si="246"/>
        <v>0.28270661405401826</v>
      </c>
      <c r="H333" s="94">
        <f t="shared" si="246"/>
        <v>0.29276135920072877</v>
      </c>
    </row>
    <row r="334" spans="1:9" x14ac:dyDescent="0.2">
      <c r="A334" s="74" t="s">
        <v>218</v>
      </c>
      <c r="B334" s="74"/>
      <c r="C334" s="92"/>
      <c r="D334" s="93">
        <f>D332*D333</f>
        <v>51.238513475272995</v>
      </c>
      <c r="E334" s="93">
        <f t="shared" ref="E334:H334" si="247">E332*E333</f>
        <v>60.793777878577316</v>
      </c>
      <c r="F334" s="93">
        <f t="shared" si="247"/>
        <v>66.095901830687509</v>
      </c>
      <c r="G334" s="93">
        <f t="shared" si="247"/>
        <v>66.838832020546519</v>
      </c>
      <c r="H334" s="93">
        <f t="shared" si="247"/>
        <v>63.754274683510864</v>
      </c>
    </row>
    <row r="335" spans="1:9" x14ac:dyDescent="0.2">
      <c r="A335" s="74"/>
      <c r="B335" s="74"/>
      <c r="C335" s="92"/>
      <c r="D335" s="92"/>
      <c r="E335" s="92"/>
      <c r="F335" s="92"/>
      <c r="G335" s="92"/>
      <c r="H335" s="92"/>
    </row>
    <row r="336" spans="1:9" x14ac:dyDescent="0.2">
      <c r="A336" s="74" t="s">
        <v>214</v>
      </c>
      <c r="B336" s="74"/>
      <c r="C336" s="92"/>
      <c r="D336" s="93">
        <f>D320-D328</f>
        <v>2627.0269985664549</v>
      </c>
      <c r="E336" s="93">
        <f>E320-E328</f>
        <v>2905.526637099339</v>
      </c>
      <c r="F336" s="93">
        <f>F320-F328</f>
        <v>2970.5856646722459</v>
      </c>
      <c r="G336" s="93">
        <f>G320-G328</f>
        <v>2771.8760255407387</v>
      </c>
      <c r="H336" s="93">
        <f>H320-H328</f>
        <v>2419.6527566026684</v>
      </c>
    </row>
    <row r="337" spans="1:10" x14ac:dyDescent="0.2">
      <c r="A337" s="74" t="s">
        <v>215</v>
      </c>
      <c r="B337" s="74"/>
      <c r="C337" s="92"/>
      <c r="D337" s="93">
        <f>D328+D332</f>
        <v>1454.5945788358706</v>
      </c>
      <c r="E337" s="93">
        <f t="shared" ref="E337:H337" si="248">E328+E332</f>
        <v>1702.2000392817827</v>
      </c>
      <c r="F337" s="93">
        <f t="shared" si="248"/>
        <v>1839.4780462008912</v>
      </c>
      <c r="G337" s="93">
        <f t="shared" si="248"/>
        <v>1812.5895186624243</v>
      </c>
      <c r="H337" s="93">
        <f t="shared" si="248"/>
        <v>1669.5604020558415</v>
      </c>
    </row>
    <row r="338" spans="1:10" x14ac:dyDescent="0.2">
      <c r="A338" s="74" t="s">
        <v>180</v>
      </c>
      <c r="B338" s="74"/>
      <c r="C338" s="92"/>
      <c r="D338" s="93">
        <f>D336+D337</f>
        <v>4081.6215774023258</v>
      </c>
      <c r="E338" s="93">
        <f t="shared" ref="E338:H338" si="249">E336+E337</f>
        <v>4607.7266763811222</v>
      </c>
      <c r="F338" s="93">
        <f t="shared" si="249"/>
        <v>4810.0637108731371</v>
      </c>
      <c r="G338" s="93">
        <f t="shared" si="249"/>
        <v>4584.4655442031635</v>
      </c>
      <c r="H338" s="93">
        <f t="shared" si="249"/>
        <v>4089.2131586585101</v>
      </c>
    </row>
    <row r="339" spans="1:10" x14ac:dyDescent="0.2">
      <c r="A339" s="74" t="s">
        <v>219</v>
      </c>
      <c r="B339" s="74"/>
      <c r="C339" s="92"/>
      <c r="D339" s="93">
        <f>D324+D334-D330</f>
        <v>1065.9916096474585</v>
      </c>
      <c r="E339" s="93">
        <f t="shared" ref="E339:H339" si="250">E324+E334-E330</f>
        <v>1218.4412325377932</v>
      </c>
      <c r="F339" s="93">
        <f t="shared" si="250"/>
        <v>1277.3694248892675</v>
      </c>
      <c r="G339" s="93">
        <f t="shared" si="250"/>
        <v>1248.7689502617195</v>
      </c>
      <c r="H339" s="93">
        <f t="shared" si="250"/>
        <v>1153.6357973257998</v>
      </c>
      <c r="J339" s="61">
        <f>AVERAGE(F339:H339)</f>
        <v>1226.5913908255955</v>
      </c>
    </row>
    <row r="340" spans="1:10" x14ac:dyDescent="0.2">
      <c r="A340" s="74" t="s">
        <v>210</v>
      </c>
      <c r="B340" s="74"/>
      <c r="C340" s="92"/>
      <c r="D340" s="94">
        <f>D339/D338</f>
        <v>0.26116865305428183</v>
      </c>
      <c r="E340" s="94">
        <f t="shared" ref="E340:H340" si="251">E339/E338</f>
        <v>0.26443435518504949</v>
      </c>
      <c r="F340" s="94">
        <f t="shared" si="251"/>
        <v>0.26556185149934231</v>
      </c>
      <c r="G340" s="94">
        <f t="shared" si="251"/>
        <v>0.27239139180372463</v>
      </c>
      <c r="H340" s="94">
        <f t="shared" si="251"/>
        <v>0.28211681625915941</v>
      </c>
    </row>
    <row r="341" spans="1:10" x14ac:dyDescent="0.2">
      <c r="A341" s="74"/>
      <c r="B341" s="74"/>
      <c r="C341" s="92"/>
      <c r="D341" s="92"/>
      <c r="E341" s="92"/>
      <c r="F341" s="92"/>
      <c r="G341" s="92"/>
      <c r="H341" s="92"/>
    </row>
    <row r="342" spans="1:10" x14ac:dyDescent="0.2">
      <c r="A342" s="74" t="s">
        <v>220</v>
      </c>
      <c r="B342" s="74"/>
      <c r="C342" s="92"/>
      <c r="D342" s="94">
        <f>D337/D338</f>
        <v>0.35637663885578069</v>
      </c>
      <c r="E342" s="94">
        <f t="shared" ref="E342:H342" si="252">E337/E338</f>
        <v>0.36942296252230811</v>
      </c>
      <c r="F342" s="94">
        <f t="shared" si="252"/>
        <v>0.38242280285035635</v>
      </c>
      <c r="G342" s="94">
        <f t="shared" si="252"/>
        <v>0.39537640782454059</v>
      </c>
      <c r="H342" s="94">
        <f t="shared" si="252"/>
        <v>0.40828402366863908</v>
      </c>
    </row>
    <row r="344" spans="1:10" x14ac:dyDescent="0.2">
      <c r="A344" s="80" t="s">
        <v>227</v>
      </c>
      <c r="B344" s="80"/>
      <c r="C344" s="92"/>
      <c r="D344" s="93">
        <f>D182</f>
        <v>3874.4367240000006</v>
      </c>
      <c r="E344" s="93">
        <f t="shared" ref="E344:H344" si="253">E182</f>
        <v>4419.6845728000008</v>
      </c>
      <c r="F344" s="93">
        <f t="shared" si="253"/>
        <v>4584.11205952</v>
      </c>
      <c r="G344" s="93">
        <f t="shared" si="253"/>
        <v>4293.6521389440004</v>
      </c>
      <c r="H344" s="93">
        <f t="shared" si="253"/>
        <v>3722.4542369280002</v>
      </c>
      <c r="I344" t="s">
        <v>199</v>
      </c>
    </row>
    <row r="345" spans="1:10" x14ac:dyDescent="0.2">
      <c r="A345" s="80" t="s">
        <v>228</v>
      </c>
      <c r="B345" s="80"/>
      <c r="C345" s="92"/>
      <c r="D345" s="93">
        <f>D197</f>
        <v>484.62198221092751</v>
      </c>
      <c r="E345" s="93">
        <f>E197</f>
        <v>557.3152795425666</v>
      </c>
      <c r="F345" s="93">
        <f>F197</f>
        <v>640.91257147395152</v>
      </c>
      <c r="G345" s="93">
        <f>G197</f>
        <v>737.04945719504417</v>
      </c>
      <c r="H345" s="93">
        <f>H197</f>
        <v>847.60687577430087</v>
      </c>
    </row>
    <row r="346" spans="1:10" x14ac:dyDescent="0.2">
      <c r="A346" s="80" t="s">
        <v>256</v>
      </c>
      <c r="B346" s="80"/>
      <c r="C346" s="92"/>
      <c r="D346" s="93">
        <f>D238</f>
        <v>35.713692000000002</v>
      </c>
      <c r="E346" s="93">
        <f>E238</f>
        <v>54.083572200000006</v>
      </c>
      <c r="F346" s="93">
        <f>F238</f>
        <v>70.087773420000005</v>
      </c>
      <c r="G346" s="93">
        <f>G238</f>
        <v>81.015155297999996</v>
      </c>
      <c r="H346" s="93">
        <f>H238</f>
        <v>87.126805319400006</v>
      </c>
    </row>
    <row r="347" spans="1:10" x14ac:dyDescent="0.2">
      <c r="A347" s="80" t="s">
        <v>229</v>
      </c>
      <c r="B347" s="80"/>
      <c r="C347" s="92"/>
      <c r="D347" s="93">
        <f>D344+D345+D346</f>
        <v>4394.7723982109283</v>
      </c>
      <c r="E347" s="93">
        <f t="shared" ref="E347:H347" si="254">E344+E345+E346</f>
        <v>5031.0834245425676</v>
      </c>
      <c r="F347" s="93">
        <f t="shared" si="254"/>
        <v>5295.1124044139515</v>
      </c>
      <c r="G347" s="93">
        <f t="shared" si="254"/>
        <v>5111.716751437044</v>
      </c>
      <c r="H347" s="93">
        <f t="shared" si="254"/>
        <v>4657.1879180217011</v>
      </c>
    </row>
    <row r="348" spans="1:10" x14ac:dyDescent="0.2">
      <c r="A348" s="80" t="s">
        <v>230</v>
      </c>
      <c r="B348" s="80"/>
      <c r="C348" s="92"/>
      <c r="D348" s="93">
        <f>D183</f>
        <v>1012.68191532</v>
      </c>
      <c r="E348" s="93">
        <f t="shared" ref="E348:H348" si="255">E183</f>
        <v>1181.213184704</v>
      </c>
      <c r="F348" s="93">
        <f t="shared" si="255"/>
        <v>1230.9523534336001</v>
      </c>
      <c r="G348" s="93">
        <f t="shared" si="255"/>
        <v>1183.0689060019201</v>
      </c>
      <c r="H348" s="93">
        <f t="shared" si="255"/>
        <v>1062.21116824704</v>
      </c>
      <c r="I348" t="s">
        <v>199</v>
      </c>
    </row>
    <row r="349" spans="1:10" x14ac:dyDescent="0.2">
      <c r="A349" s="80" t="s">
        <v>231</v>
      </c>
      <c r="B349" s="80"/>
      <c r="C349" s="92"/>
      <c r="D349" s="93">
        <f>D203</f>
        <v>159.92525412960609</v>
      </c>
      <c r="E349" s="93">
        <f>E203</f>
        <v>183.91404224904699</v>
      </c>
      <c r="F349" s="93">
        <f>F203</f>
        <v>211.50114858640401</v>
      </c>
      <c r="G349" s="93">
        <f>G203</f>
        <v>243.22632087436457</v>
      </c>
      <c r="H349" s="93">
        <f>H203</f>
        <v>279.71026900551931</v>
      </c>
    </row>
    <row r="350" spans="1:10" x14ac:dyDescent="0.2">
      <c r="A350" s="80" t="s">
        <v>257</v>
      </c>
      <c r="B350" s="80"/>
      <c r="C350" s="92"/>
      <c r="D350" s="93">
        <f>D346</f>
        <v>35.713692000000002</v>
      </c>
      <c r="E350" s="93">
        <f t="shared" ref="E350:H350" si="256">E346</f>
        <v>54.083572200000006</v>
      </c>
      <c r="F350" s="93">
        <f t="shared" si="256"/>
        <v>70.087773420000005</v>
      </c>
      <c r="G350" s="93">
        <f t="shared" si="256"/>
        <v>81.015155297999996</v>
      </c>
      <c r="H350" s="93">
        <f t="shared" si="256"/>
        <v>87.126805319400006</v>
      </c>
    </row>
    <row r="351" spans="1:10" x14ac:dyDescent="0.2">
      <c r="A351" s="80" t="s">
        <v>232</v>
      </c>
      <c r="B351" s="80"/>
      <c r="C351" s="92"/>
      <c r="D351" s="93">
        <f>D348+D349+D350</f>
        <v>1208.3208614496061</v>
      </c>
      <c r="E351" s="93">
        <f t="shared" ref="E351:H351" si="257">E348+E349+E350</f>
        <v>1419.210799153047</v>
      </c>
      <c r="F351" s="93">
        <f t="shared" si="257"/>
        <v>1512.5412754400043</v>
      </c>
      <c r="G351" s="93">
        <f t="shared" si="257"/>
        <v>1507.3103821742848</v>
      </c>
      <c r="H351" s="93">
        <f t="shared" si="257"/>
        <v>1429.0482425719595</v>
      </c>
    </row>
    <row r="352" spans="1:10" x14ac:dyDescent="0.2">
      <c r="A352" s="80" t="s">
        <v>233</v>
      </c>
      <c r="B352" s="80"/>
      <c r="C352" s="92"/>
      <c r="D352" s="94">
        <f>D351/D347</f>
        <v>0.27494503741342841</v>
      </c>
      <c r="E352" s="94">
        <f t="shared" ref="E352:H352" si="258">E351/E347</f>
        <v>0.2820885044819314</v>
      </c>
      <c r="F352" s="94">
        <f t="shared" si="258"/>
        <v>0.28564856794714411</v>
      </c>
      <c r="G352" s="94">
        <f t="shared" si="258"/>
        <v>0.29487361203074064</v>
      </c>
      <c r="H352" s="94">
        <f t="shared" si="258"/>
        <v>0.30684788067967766</v>
      </c>
    </row>
    <row r="353" spans="1:10" x14ac:dyDescent="0.2">
      <c r="A353" s="80"/>
      <c r="B353" s="80"/>
      <c r="C353" s="92"/>
      <c r="D353" s="92"/>
      <c r="E353" s="92"/>
      <c r="F353" s="92"/>
      <c r="G353" s="92"/>
      <c r="H353" s="92"/>
    </row>
    <row r="354" spans="1:10" x14ac:dyDescent="0.2">
      <c r="A354" s="80" t="s">
        <v>200</v>
      </c>
      <c r="B354" s="80"/>
      <c r="C354" s="92"/>
      <c r="D354" s="95">
        <v>0.35</v>
      </c>
      <c r="E354" s="95">
        <f>D354+2.5%</f>
        <v>0.375</v>
      </c>
      <c r="F354" s="95">
        <f t="shared" ref="F354:H354" si="259">E354+2.5%</f>
        <v>0.4</v>
      </c>
      <c r="G354" s="95">
        <f t="shared" si="259"/>
        <v>0.42500000000000004</v>
      </c>
      <c r="H354" s="95">
        <f t="shared" si="259"/>
        <v>0.45000000000000007</v>
      </c>
    </row>
    <row r="355" spans="1:10" x14ac:dyDescent="0.2">
      <c r="A355" s="80" t="s">
        <v>201</v>
      </c>
      <c r="B355" s="80"/>
      <c r="C355" s="92"/>
      <c r="D355" s="93">
        <f>D347*D354</f>
        <v>1538.1703393738248</v>
      </c>
      <c r="E355" s="93">
        <f t="shared" ref="E355" si="260">E347*E354</f>
        <v>1886.6562842034627</v>
      </c>
      <c r="F355" s="93">
        <f t="shared" ref="F355" si="261">F347*F354</f>
        <v>2118.0449617655809</v>
      </c>
      <c r="G355" s="93">
        <f t="shared" ref="G355" si="262">G347*G354</f>
        <v>2172.479619360744</v>
      </c>
      <c r="H355" s="93">
        <f t="shared" ref="H355" si="263">H347*H354</f>
        <v>2095.734563109766</v>
      </c>
    </row>
    <row r="356" spans="1:10" x14ac:dyDescent="0.2">
      <c r="A356" s="80" t="s">
        <v>212</v>
      </c>
      <c r="B356" s="80"/>
      <c r="C356" s="92"/>
      <c r="D356" s="96">
        <v>0.05</v>
      </c>
      <c r="E356" s="96">
        <f>D356</f>
        <v>0.05</v>
      </c>
      <c r="F356" s="96">
        <f t="shared" ref="F356:H356" si="264">E356</f>
        <v>0.05</v>
      </c>
      <c r="G356" s="96">
        <f t="shared" si="264"/>
        <v>0.05</v>
      </c>
      <c r="H356" s="96">
        <f t="shared" si="264"/>
        <v>0.05</v>
      </c>
    </row>
    <row r="357" spans="1:10" x14ac:dyDescent="0.2">
      <c r="A357" s="80" t="s">
        <v>202</v>
      </c>
      <c r="B357" s="80"/>
      <c r="C357" s="92"/>
      <c r="D357" s="93">
        <f>D355*D356</f>
        <v>76.908516968691245</v>
      </c>
      <c r="E357" s="93">
        <f t="shared" ref="E357" si="265">E355*E356</f>
        <v>94.33281421017314</v>
      </c>
      <c r="F357" s="93">
        <f t="shared" ref="F357" si="266">F355*F356</f>
        <v>105.90224808827905</v>
      </c>
      <c r="G357" s="93">
        <f t="shared" ref="G357" si="267">G355*G356</f>
        <v>108.6239809680372</v>
      </c>
      <c r="H357" s="93">
        <f t="shared" ref="H357" si="268">H355*H356</f>
        <v>104.7867281554883</v>
      </c>
    </row>
    <row r="358" spans="1:10" x14ac:dyDescent="0.2">
      <c r="A358" s="80"/>
      <c r="B358" s="80"/>
      <c r="C358" s="92"/>
      <c r="D358" s="92"/>
      <c r="E358" s="92"/>
      <c r="F358" s="92"/>
      <c r="G358" s="92"/>
      <c r="H358" s="92"/>
    </row>
    <row r="359" spans="1:10" x14ac:dyDescent="0.2">
      <c r="A359" s="80" t="s">
        <v>211</v>
      </c>
      <c r="B359" s="80"/>
      <c r="C359" s="92"/>
      <c r="D359" s="93">
        <f>D355*0.25</f>
        <v>384.54258484345621</v>
      </c>
      <c r="E359" s="93">
        <f t="shared" ref="E359:H359" si="269">E355*0.25</f>
        <v>471.66407105086569</v>
      </c>
      <c r="F359" s="93">
        <f t="shared" si="269"/>
        <v>529.51124044139522</v>
      </c>
      <c r="G359" s="93">
        <f t="shared" si="269"/>
        <v>543.119904840186</v>
      </c>
      <c r="H359" s="93">
        <f t="shared" si="269"/>
        <v>523.9336407774415</v>
      </c>
      <c r="I359" t="s">
        <v>239</v>
      </c>
    </row>
    <row r="360" spans="1:10" x14ac:dyDescent="0.2">
      <c r="A360" s="80" t="s">
        <v>217</v>
      </c>
      <c r="B360" s="80"/>
      <c r="C360" s="92"/>
      <c r="D360" s="94">
        <f>D352*0.975</f>
        <v>0.26807141147809271</v>
      </c>
      <c r="E360" s="94">
        <f t="shared" ref="E360:H360" si="270">E352*0.975</f>
        <v>0.2750362918698831</v>
      </c>
      <c r="F360" s="94">
        <f t="shared" si="270"/>
        <v>0.27850735374846547</v>
      </c>
      <c r="G360" s="94">
        <f t="shared" si="270"/>
        <v>0.2875017717299721</v>
      </c>
      <c r="H360" s="94">
        <f t="shared" si="270"/>
        <v>0.29917668366268574</v>
      </c>
    </row>
    <row r="361" spans="1:10" x14ac:dyDescent="0.2">
      <c r="A361" s="80" t="s">
        <v>218</v>
      </c>
      <c r="B361" s="80"/>
      <c r="C361" s="92"/>
      <c r="D361" s="93">
        <f>D359*D360</f>
        <v>103.08487349241953</v>
      </c>
      <c r="E361" s="93">
        <f t="shared" ref="E361" si="271">E359*E360</f>
        <v>129.72473711008317</v>
      </c>
      <c r="F361" s="93">
        <f t="shared" ref="F361" si="272">F359*F360</f>
        <v>147.47277435540042</v>
      </c>
      <c r="G361" s="93">
        <f t="shared" ref="G361" si="273">G359*G360</f>
        <v>156.14793490336731</v>
      </c>
      <c r="H361" s="93">
        <f t="shared" ref="H361" si="274">H359*H360</f>
        <v>156.74872910711184</v>
      </c>
    </row>
    <row r="362" spans="1:10" x14ac:dyDescent="0.2">
      <c r="A362" s="80"/>
      <c r="B362" s="80"/>
      <c r="C362" s="92"/>
      <c r="D362" s="92"/>
      <c r="E362" s="92"/>
      <c r="F362" s="92"/>
      <c r="G362" s="92"/>
      <c r="H362" s="92"/>
    </row>
    <row r="363" spans="1:10" x14ac:dyDescent="0.2">
      <c r="A363" s="80" t="s">
        <v>234</v>
      </c>
      <c r="B363" s="80"/>
      <c r="C363" s="92"/>
      <c r="D363" s="93">
        <f>D347-D355</f>
        <v>2856.6020588371034</v>
      </c>
      <c r="E363" s="93">
        <f>E347-E355</f>
        <v>3144.4271403391049</v>
      </c>
      <c r="F363" s="93">
        <f>F347-F355</f>
        <v>3177.0674426483706</v>
      </c>
      <c r="G363" s="93">
        <f>G347-G355</f>
        <v>2939.2371320763</v>
      </c>
      <c r="H363" s="93">
        <f>H347-H355</f>
        <v>2561.4533549119351</v>
      </c>
    </row>
    <row r="364" spans="1:10" x14ac:dyDescent="0.2">
      <c r="A364" s="80" t="s">
        <v>235</v>
      </c>
      <c r="B364" s="80"/>
      <c r="C364" s="92"/>
      <c r="D364" s="93">
        <f>D355+D359</f>
        <v>1922.7129242172809</v>
      </c>
      <c r="E364" s="93">
        <f t="shared" ref="E364:H364" si="275">E355+E359</f>
        <v>2358.3203552543282</v>
      </c>
      <c r="F364" s="93">
        <f t="shared" si="275"/>
        <v>2647.5562022069762</v>
      </c>
      <c r="G364" s="93">
        <f t="shared" si="275"/>
        <v>2715.5995242009299</v>
      </c>
      <c r="H364" s="93">
        <f t="shared" si="275"/>
        <v>2619.6682038872077</v>
      </c>
    </row>
    <row r="365" spans="1:10" x14ac:dyDescent="0.2">
      <c r="A365" s="80" t="s">
        <v>236</v>
      </c>
      <c r="B365" s="80"/>
      <c r="C365" s="92"/>
      <c r="D365" s="93">
        <f>D363+D364</f>
        <v>4779.3149830543844</v>
      </c>
      <c r="E365" s="93">
        <f t="shared" ref="E365" si="276">E363+E364</f>
        <v>5502.7474955934331</v>
      </c>
      <c r="F365" s="93">
        <f t="shared" ref="F365" si="277">F363+F364</f>
        <v>5824.6236448553464</v>
      </c>
      <c r="G365" s="93">
        <f t="shared" ref="G365" si="278">G363+G364</f>
        <v>5654.8366562772298</v>
      </c>
      <c r="H365" s="93">
        <f t="shared" ref="H365" si="279">H363+H364</f>
        <v>5181.1215587991428</v>
      </c>
    </row>
    <row r="366" spans="1:10" x14ac:dyDescent="0.2">
      <c r="A366" s="80" t="s">
        <v>237</v>
      </c>
      <c r="B366" s="80"/>
      <c r="C366" s="92"/>
      <c r="D366" s="93">
        <f>D351+D361-D357</f>
        <v>1234.4972179733345</v>
      </c>
      <c r="E366" s="93">
        <f t="shared" ref="E366:H366" si="280">E351+E361-E357</f>
        <v>1454.602722052957</v>
      </c>
      <c r="F366" s="93">
        <f t="shared" si="280"/>
        <v>1554.1118017071256</v>
      </c>
      <c r="G366" s="93">
        <f t="shared" si="280"/>
        <v>1554.8343361096149</v>
      </c>
      <c r="H366" s="93">
        <f t="shared" si="280"/>
        <v>1481.0102435235829</v>
      </c>
      <c r="J366" s="61">
        <f>AVERAGE(D366:H366)</f>
        <v>1455.8112642733231</v>
      </c>
    </row>
    <row r="367" spans="1:10" x14ac:dyDescent="0.2">
      <c r="A367" s="80" t="s">
        <v>233</v>
      </c>
      <c r="B367" s="80"/>
      <c r="C367" s="92"/>
      <c r="D367" s="94">
        <f>D366/D365</f>
        <v>0.25830003302782673</v>
      </c>
      <c r="E367" s="94">
        <f t="shared" ref="E367" si="281">E366/E365</f>
        <v>0.26434117197232732</v>
      </c>
      <c r="F367" s="94">
        <f t="shared" ref="F367" si="282">F366/F365</f>
        <v>0.26681754847453698</v>
      </c>
      <c r="G367" s="94">
        <f t="shared" ref="G367" si="283">G366/G365</f>
        <v>0.2749565426233222</v>
      </c>
      <c r="H367" s="94">
        <f t="shared" ref="H367" si="284">H366/H365</f>
        <v>0.28584742255436385</v>
      </c>
    </row>
    <row r="368" spans="1:10" x14ac:dyDescent="0.2">
      <c r="A368" s="80"/>
      <c r="B368" s="80"/>
      <c r="C368" s="92"/>
      <c r="D368" s="92"/>
      <c r="E368" s="92"/>
      <c r="F368" s="92"/>
      <c r="G368" s="92"/>
      <c r="H368" s="92"/>
    </row>
    <row r="369" spans="1:8" x14ac:dyDescent="0.2">
      <c r="A369" s="80" t="s">
        <v>238</v>
      </c>
      <c r="B369" s="80"/>
      <c r="C369" s="92"/>
      <c r="D369" s="94">
        <f>D364/D365</f>
        <v>0.4022988505747126</v>
      </c>
      <c r="E369" s="94">
        <f t="shared" ref="E369:H369" si="285">E364/E365</f>
        <v>0.42857142857142855</v>
      </c>
      <c r="F369" s="94">
        <f t="shared" si="285"/>
        <v>0.45454545454545464</v>
      </c>
      <c r="G369" s="94">
        <f t="shared" si="285"/>
        <v>0.48022598870056504</v>
      </c>
      <c r="H369" s="94">
        <f t="shared" si="285"/>
        <v>0.50561797752809001</v>
      </c>
    </row>
    <row r="370" spans="1:8" x14ac:dyDescent="0.2">
      <c r="A370" s="53"/>
      <c r="B370" s="53"/>
      <c r="C370" s="53"/>
      <c r="D370" s="53"/>
      <c r="E370" s="53"/>
      <c r="F370" s="53"/>
      <c r="G370" s="53"/>
      <c r="H370" s="53"/>
    </row>
    <row r="371" spans="1:8" x14ac:dyDescent="0.2">
      <c r="A371" s="63" t="s">
        <v>308</v>
      </c>
      <c r="D371">
        <v>21</v>
      </c>
      <c r="E371">
        <v>22</v>
      </c>
      <c r="F371">
        <v>23</v>
      </c>
      <c r="G371">
        <v>24</v>
      </c>
      <c r="H371">
        <v>25</v>
      </c>
    </row>
    <row r="373" spans="1:8" x14ac:dyDescent="0.2">
      <c r="A373" t="s">
        <v>284</v>
      </c>
      <c r="D373" s="50">
        <f>D311</f>
        <v>3345.5062039244876</v>
      </c>
      <c r="E373" s="50">
        <f t="shared" ref="E373:H373" si="286">E311</f>
        <v>3725.4779183169367</v>
      </c>
      <c r="F373" s="50">
        <f t="shared" si="286"/>
        <v>3868.1904074327836</v>
      </c>
      <c r="G373" s="50">
        <f t="shared" si="286"/>
        <v>3620.9060347953246</v>
      </c>
      <c r="H373" s="50">
        <f t="shared" si="286"/>
        <v>3144.1596176800258</v>
      </c>
    </row>
    <row r="374" spans="1:8" x14ac:dyDescent="0.2">
      <c r="A374" t="s">
        <v>285</v>
      </c>
      <c r="D374" s="50">
        <f>D255</f>
        <v>531.5625</v>
      </c>
      <c r="E374" s="50">
        <f t="shared" ref="E374:H374" si="287">E255</f>
        <v>584.71875</v>
      </c>
      <c r="F374" s="50">
        <f t="shared" si="287"/>
        <v>540.86484375000009</v>
      </c>
      <c r="G374" s="50">
        <f t="shared" si="287"/>
        <v>486.77835937500009</v>
      </c>
      <c r="H374" s="50">
        <f t="shared" si="287"/>
        <v>438.1005234375001</v>
      </c>
    </row>
    <row r="375" spans="1:8" x14ac:dyDescent="0.2">
      <c r="A375" t="s">
        <v>286</v>
      </c>
      <c r="D375" s="50">
        <f>D373+D374</f>
        <v>3877.0687039244876</v>
      </c>
      <c r="E375" s="50">
        <f t="shared" ref="E375:H375" si="288">E373+E374</f>
        <v>4310.1966683169367</v>
      </c>
      <c r="F375" s="50">
        <f t="shared" si="288"/>
        <v>4409.0552511827836</v>
      </c>
      <c r="G375" s="50">
        <f t="shared" si="288"/>
        <v>4107.6843941703246</v>
      </c>
      <c r="H375" s="50">
        <f t="shared" si="288"/>
        <v>3582.260141117526</v>
      </c>
    </row>
    <row r="377" spans="1:8" x14ac:dyDescent="0.2">
      <c r="A377" t="s">
        <v>287</v>
      </c>
      <c r="D377" s="50">
        <f>D312</f>
        <v>902.53450539111907</v>
      </c>
      <c r="E377" s="50">
        <f t="shared" ref="E377:H377" si="289">E312</f>
        <v>1010.6068680677311</v>
      </c>
      <c r="F377" s="50">
        <f t="shared" si="289"/>
        <v>1054.1410013106179</v>
      </c>
      <c r="G377" s="50">
        <f t="shared" si="289"/>
        <v>1011.4585401040215</v>
      </c>
      <c r="H377" s="50">
        <f t="shared" si="289"/>
        <v>909.96688810970818</v>
      </c>
    </row>
    <row r="378" spans="1:8" x14ac:dyDescent="0.2">
      <c r="A378" t="s">
        <v>288</v>
      </c>
      <c r="D378" s="50">
        <f>D256</f>
        <v>202.125</v>
      </c>
      <c r="E378" s="50">
        <f t="shared" ref="E378:H378" si="290">E256</f>
        <v>222.33750000000003</v>
      </c>
      <c r="F378" s="50">
        <f t="shared" si="290"/>
        <v>205.66218750000004</v>
      </c>
      <c r="G378" s="50">
        <f t="shared" si="290"/>
        <v>185.09596875000005</v>
      </c>
      <c r="H378" s="50">
        <f t="shared" si="290"/>
        <v>166.58637187500003</v>
      </c>
    </row>
    <row r="379" spans="1:8" x14ac:dyDescent="0.2">
      <c r="A379" t="s">
        <v>289</v>
      </c>
      <c r="D379" s="50">
        <f>D377+D378</f>
        <v>1104.6595053911192</v>
      </c>
      <c r="E379" s="50">
        <f t="shared" ref="E379" si="291">E377+E378</f>
        <v>1232.9443680677311</v>
      </c>
      <c r="F379" s="50">
        <f t="shared" ref="F379" si="292">F377+F378</f>
        <v>1259.8031888106179</v>
      </c>
      <c r="G379" s="50">
        <f t="shared" ref="G379" si="293">G377+G378</f>
        <v>1196.5545088540216</v>
      </c>
      <c r="H379" s="50">
        <f t="shared" ref="H379" si="294">H377+H378</f>
        <v>1076.5532599847081</v>
      </c>
    </row>
    <row r="381" spans="1:8" x14ac:dyDescent="0.2">
      <c r="A381" t="s">
        <v>290</v>
      </c>
      <c r="D381" s="47">
        <f>D379/D375</f>
        <v>0.28492131291688205</v>
      </c>
      <c r="E381" s="47">
        <f>E379/E375</f>
        <v>0.28605292587476672</v>
      </c>
      <c r="F381" s="47">
        <f>F379/F375</f>
        <v>0.28573086909551887</v>
      </c>
      <c r="G381" s="47">
        <f>G379/G375</f>
        <v>0.29129660266796209</v>
      </c>
      <c r="H381" s="47">
        <f>H379/H375</f>
        <v>0.30052347333124313</v>
      </c>
    </row>
    <row r="383" spans="1:8" x14ac:dyDescent="0.2">
      <c r="A383" t="s">
        <v>291</v>
      </c>
      <c r="D383" s="50">
        <f>D31</f>
        <v>928.58</v>
      </c>
      <c r="E383" s="50">
        <f>E31</f>
        <v>928.58</v>
      </c>
      <c r="F383" s="50">
        <f>F31</f>
        <v>928.58</v>
      </c>
      <c r="G383" s="50">
        <f>G31</f>
        <v>928.58</v>
      </c>
      <c r="H383" s="50">
        <f>H31</f>
        <v>928.58</v>
      </c>
    </row>
    <row r="385" spans="1:8" x14ac:dyDescent="0.2">
      <c r="A385" t="s">
        <v>292</v>
      </c>
      <c r="D385" s="50">
        <f>D379-D383</f>
        <v>176.07950539111914</v>
      </c>
      <c r="E385" s="50">
        <f t="shared" ref="E385:H385" si="295">E379-E383</f>
        <v>304.36436806773111</v>
      </c>
      <c r="F385" s="50">
        <f t="shared" si="295"/>
        <v>331.2231888106179</v>
      </c>
      <c r="G385" s="50">
        <f t="shared" si="295"/>
        <v>267.97450885402156</v>
      </c>
      <c r="H385" s="50">
        <f t="shared" si="295"/>
        <v>147.97325998470808</v>
      </c>
    </row>
    <row r="387" spans="1:8" x14ac:dyDescent="0.2">
      <c r="A387" t="s">
        <v>308</v>
      </c>
      <c r="D387">
        <v>21</v>
      </c>
      <c r="E387">
        <v>22</v>
      </c>
      <c r="F387">
        <v>23</v>
      </c>
    </row>
    <row r="388" spans="1:8" x14ac:dyDescent="0.2">
      <c r="C388" t="s">
        <v>128</v>
      </c>
      <c r="F388" s="87">
        <v>9</v>
      </c>
    </row>
    <row r="389" spans="1:8" x14ac:dyDescent="0.2">
      <c r="C389" t="s">
        <v>131</v>
      </c>
      <c r="F389" s="50">
        <f>F385</f>
        <v>331.2231888106179</v>
      </c>
    </row>
    <row r="390" spans="1:8" x14ac:dyDescent="0.2">
      <c r="C390" t="s">
        <v>309</v>
      </c>
      <c r="D390" s="66">
        <v>0</v>
      </c>
      <c r="E390" s="66">
        <v>0</v>
      </c>
      <c r="F390" s="49">
        <f>F388*F389</f>
        <v>2981.0086992955612</v>
      </c>
    </row>
    <row r="392" spans="1:8" x14ac:dyDescent="0.2">
      <c r="C392" t="s">
        <v>310</v>
      </c>
      <c r="F392" s="45">
        <f>NPV(10%,D390:F390)</f>
        <v>2239.6759573971153</v>
      </c>
    </row>
    <row r="393" spans="1:8" x14ac:dyDescent="0.2">
      <c r="C393" t="s">
        <v>311</v>
      </c>
      <c r="F393">
        <v>69.75</v>
      </c>
    </row>
    <row r="394" spans="1:8" x14ac:dyDescent="0.2">
      <c r="C394" s="91" t="s">
        <v>312</v>
      </c>
      <c r="D394" s="91"/>
      <c r="F394" s="62">
        <f>F392/F393</f>
        <v>32.110049568417423</v>
      </c>
    </row>
    <row r="395" spans="1:8" x14ac:dyDescent="0.2">
      <c r="A395" s="53"/>
      <c r="B395" s="53"/>
      <c r="C395" s="53"/>
      <c r="D395" s="53"/>
      <c r="E395" s="53"/>
      <c r="F395" s="53"/>
      <c r="G395" s="53"/>
      <c r="H395" s="53"/>
    </row>
    <row r="396" spans="1:8" x14ac:dyDescent="0.2">
      <c r="A396" s="53"/>
      <c r="B396" s="53"/>
      <c r="C396" s="53"/>
      <c r="D396" s="53"/>
      <c r="E396" s="53"/>
      <c r="F396" s="53"/>
      <c r="G396" s="53"/>
      <c r="H396" s="53"/>
    </row>
    <row r="397" spans="1:8" s="1" customFormat="1" x14ac:dyDescent="0.2">
      <c r="A397" s="63" t="s">
        <v>313</v>
      </c>
      <c r="B397"/>
      <c r="C397"/>
      <c r="D397">
        <v>21</v>
      </c>
      <c r="E397">
        <v>22</v>
      </c>
      <c r="F397">
        <v>23</v>
      </c>
      <c r="G397">
        <v>24</v>
      </c>
      <c r="H397">
        <v>25</v>
      </c>
    </row>
    <row r="398" spans="1:8" s="1" customFormat="1" x14ac:dyDescent="0.2">
      <c r="A398"/>
      <c r="B398"/>
      <c r="C398"/>
      <c r="D398"/>
      <c r="E398"/>
      <c r="F398"/>
      <c r="G398"/>
      <c r="H398"/>
    </row>
    <row r="399" spans="1:8" x14ac:dyDescent="0.2">
      <c r="A399" t="s">
        <v>283</v>
      </c>
      <c r="D399" s="50">
        <f>D338</f>
        <v>4081.6215774023258</v>
      </c>
      <c r="E399" s="50">
        <f t="shared" ref="E399:H399" si="296">E338</f>
        <v>4607.7266763811222</v>
      </c>
      <c r="F399" s="50">
        <f t="shared" si="296"/>
        <v>4810.0637108731371</v>
      </c>
      <c r="G399" s="50">
        <f t="shared" si="296"/>
        <v>4584.4655442031635</v>
      </c>
      <c r="H399" s="50">
        <f t="shared" si="296"/>
        <v>4089.2131586585101</v>
      </c>
    </row>
    <row r="400" spans="1:8" x14ac:dyDescent="0.2">
      <c r="A400" t="s">
        <v>293</v>
      </c>
      <c r="D400" s="50">
        <f>D272</f>
        <v>590.1</v>
      </c>
      <c r="E400" s="50">
        <f t="shared" ref="E400:H400" si="297">E272</f>
        <v>619.60500000000013</v>
      </c>
      <c r="F400" s="50">
        <f t="shared" si="297"/>
        <v>650.5852500000002</v>
      </c>
      <c r="G400" s="50">
        <f t="shared" si="297"/>
        <v>683.11451250000005</v>
      </c>
      <c r="H400" s="50">
        <f t="shared" si="297"/>
        <v>717.27023812500011</v>
      </c>
    </row>
    <row r="401" spans="1:8" x14ac:dyDescent="0.2">
      <c r="A401" t="s">
        <v>294</v>
      </c>
      <c r="D401" s="50">
        <f>D399+D400</f>
        <v>4671.7215774023261</v>
      </c>
      <c r="E401" s="50">
        <f t="shared" ref="E401" si="298">E399+E400</f>
        <v>5227.3316763811226</v>
      </c>
      <c r="F401" s="50">
        <f t="shared" ref="F401" si="299">F399+F400</f>
        <v>5460.6489608731372</v>
      </c>
      <c r="G401" s="50">
        <f t="shared" ref="G401" si="300">G399+G400</f>
        <v>5267.5800567031638</v>
      </c>
      <c r="H401" s="50">
        <f t="shared" ref="H401" si="301">H399+H400</f>
        <v>4806.4833967835102</v>
      </c>
    </row>
    <row r="403" spans="1:8" x14ac:dyDescent="0.2">
      <c r="A403" t="s">
        <v>295</v>
      </c>
      <c r="D403" s="50">
        <f>D339</f>
        <v>1065.9916096474585</v>
      </c>
      <c r="E403" s="50">
        <f t="shared" ref="E403:H403" si="302">E339</f>
        <v>1218.4412325377932</v>
      </c>
      <c r="F403" s="50">
        <f t="shared" si="302"/>
        <v>1277.3694248892675</v>
      </c>
      <c r="G403" s="50">
        <f t="shared" si="302"/>
        <v>1248.7689502617195</v>
      </c>
      <c r="H403" s="50">
        <f t="shared" si="302"/>
        <v>1153.6357973257998</v>
      </c>
    </row>
    <row r="404" spans="1:8" x14ac:dyDescent="0.2">
      <c r="A404" t="s">
        <v>296</v>
      </c>
      <c r="D404" s="50">
        <f>D273</f>
        <v>237.66750000000002</v>
      </c>
      <c r="E404" s="50">
        <f t="shared" ref="E404:H404" si="303">E273</f>
        <v>249.55087500000002</v>
      </c>
      <c r="F404" s="50">
        <f t="shared" si="303"/>
        <v>262.02841875000007</v>
      </c>
      <c r="G404" s="50">
        <f t="shared" si="303"/>
        <v>275.12983968750001</v>
      </c>
      <c r="H404" s="50">
        <f t="shared" si="303"/>
        <v>288.88633167187504</v>
      </c>
    </row>
    <row r="405" spans="1:8" x14ac:dyDescent="0.2">
      <c r="A405" t="s">
        <v>297</v>
      </c>
      <c r="D405" s="50">
        <f>D403+D404</f>
        <v>1303.6591096474585</v>
      </c>
      <c r="E405" s="50">
        <f t="shared" ref="E405" si="304">E403+E404</f>
        <v>1467.9921075377933</v>
      </c>
      <c r="F405" s="50">
        <f t="shared" ref="F405" si="305">F403+F404</f>
        <v>1539.3978436392676</v>
      </c>
      <c r="G405" s="50">
        <f t="shared" ref="G405" si="306">G403+G404</f>
        <v>1523.8987899492195</v>
      </c>
      <c r="H405" s="50">
        <f t="shared" ref="H405" si="307">H403+H404</f>
        <v>1442.5221289976748</v>
      </c>
    </row>
    <row r="407" spans="1:8" x14ac:dyDescent="0.2">
      <c r="A407" t="s">
        <v>298</v>
      </c>
      <c r="D407" s="47">
        <f>D405/D401</f>
        <v>0.27905325436203499</v>
      </c>
      <c r="E407" s="47">
        <f>E405/E401</f>
        <v>0.28083010576326833</v>
      </c>
      <c r="F407" s="47">
        <f>F405/F401</f>
        <v>0.28190749023960765</v>
      </c>
      <c r="G407" s="47">
        <f>G405/G401</f>
        <v>0.28929769904683456</v>
      </c>
      <c r="H407" s="47">
        <f>H405/H401</f>
        <v>0.30012006906400801</v>
      </c>
    </row>
    <row r="409" spans="1:8" x14ac:dyDescent="0.2">
      <c r="A409" t="s">
        <v>291</v>
      </c>
      <c r="D409" s="50">
        <f>D31</f>
        <v>928.58</v>
      </c>
      <c r="E409" s="50">
        <f>E31</f>
        <v>928.58</v>
      </c>
      <c r="F409" s="50">
        <f>F31</f>
        <v>928.58</v>
      </c>
      <c r="G409" s="50">
        <f>G31</f>
        <v>928.58</v>
      </c>
      <c r="H409" s="50">
        <f>H31</f>
        <v>928.58</v>
      </c>
    </row>
    <row r="411" spans="1:8" x14ac:dyDescent="0.2">
      <c r="A411" t="s">
        <v>299</v>
      </c>
      <c r="D411" s="50">
        <f>D405-D409</f>
        <v>375.07910964745849</v>
      </c>
      <c r="E411" s="50">
        <f t="shared" ref="E411:H411" si="308">E405-E409</f>
        <v>539.4121075377933</v>
      </c>
      <c r="F411" s="50">
        <f t="shared" si="308"/>
        <v>610.81784363926761</v>
      </c>
      <c r="G411" s="50">
        <f t="shared" si="308"/>
        <v>595.31878994921942</v>
      </c>
      <c r="H411" s="50">
        <f t="shared" si="308"/>
        <v>513.94212899767479</v>
      </c>
    </row>
    <row r="412" spans="1:8" x14ac:dyDescent="0.2">
      <c r="D412" s="50"/>
      <c r="E412" s="50"/>
      <c r="F412" s="50"/>
      <c r="G412" s="50"/>
      <c r="H412" s="50"/>
    </row>
    <row r="413" spans="1:8" x14ac:dyDescent="0.2">
      <c r="A413" t="s">
        <v>313</v>
      </c>
      <c r="D413">
        <v>21</v>
      </c>
      <c r="E413">
        <v>22</v>
      </c>
      <c r="F413">
        <v>23</v>
      </c>
      <c r="G413" s="50"/>
      <c r="H413" s="50"/>
    </row>
    <row r="414" spans="1:8" x14ac:dyDescent="0.2">
      <c r="C414" t="s">
        <v>128</v>
      </c>
      <c r="F414" s="87">
        <v>12</v>
      </c>
      <c r="G414" s="50"/>
      <c r="H414" s="50"/>
    </row>
    <row r="415" spans="1:8" x14ac:dyDescent="0.2">
      <c r="C415" t="s">
        <v>131</v>
      </c>
      <c r="F415" s="50">
        <f>F411</f>
        <v>610.81784363926761</v>
      </c>
      <c r="G415" s="50"/>
      <c r="H415" s="50"/>
    </row>
    <row r="416" spans="1:8" x14ac:dyDescent="0.2">
      <c r="C416" t="s">
        <v>309</v>
      </c>
      <c r="D416" s="66">
        <v>0</v>
      </c>
      <c r="E416" s="66">
        <v>0</v>
      </c>
      <c r="F416" s="49">
        <f>F414*F415</f>
        <v>7329.8141236712108</v>
      </c>
      <c r="G416" s="50"/>
      <c r="H416" s="50"/>
    </row>
    <row r="417" spans="1:9" x14ac:dyDescent="0.2">
      <c r="G417" s="50"/>
      <c r="H417" s="50"/>
    </row>
    <row r="418" spans="1:9" x14ac:dyDescent="0.2">
      <c r="C418" t="s">
        <v>310</v>
      </c>
      <c r="F418" s="45">
        <f>NPV(10%,D416:F416)</f>
        <v>5506.9978389716071</v>
      </c>
      <c r="G418" s="50"/>
      <c r="H418" s="50"/>
    </row>
    <row r="419" spans="1:9" x14ac:dyDescent="0.2">
      <c r="C419" t="s">
        <v>311</v>
      </c>
      <c r="F419">
        <v>69.75</v>
      </c>
      <c r="G419" s="50"/>
      <c r="H419" s="50"/>
    </row>
    <row r="420" spans="1:9" x14ac:dyDescent="0.2">
      <c r="C420" s="65" t="s">
        <v>312</v>
      </c>
      <c r="D420" s="65"/>
      <c r="F420" s="62">
        <f>F418/F419</f>
        <v>78.953374035435232</v>
      </c>
      <c r="G420" s="50"/>
      <c r="H420" s="50"/>
    </row>
    <row r="421" spans="1:9" x14ac:dyDescent="0.2">
      <c r="A421" s="53"/>
      <c r="B421" s="53"/>
      <c r="C421" s="53"/>
      <c r="D421" s="88"/>
      <c r="E421" s="88"/>
      <c r="F421" s="88"/>
      <c r="G421" s="88"/>
      <c r="H421" s="88"/>
    </row>
    <row r="422" spans="1:9" x14ac:dyDescent="0.2">
      <c r="A422" s="53"/>
      <c r="B422" s="53"/>
      <c r="C422" s="53"/>
      <c r="D422" s="88"/>
      <c r="E422" s="88"/>
      <c r="F422" s="88"/>
      <c r="G422" s="88"/>
      <c r="H422" s="88"/>
    </row>
    <row r="423" spans="1:9" x14ac:dyDescent="0.2">
      <c r="A423" s="63" t="s">
        <v>314</v>
      </c>
      <c r="D423">
        <v>21</v>
      </c>
      <c r="E423">
        <v>22</v>
      </c>
      <c r="F423">
        <v>23</v>
      </c>
      <c r="G423">
        <v>24</v>
      </c>
      <c r="H423">
        <v>25</v>
      </c>
    </row>
    <row r="425" spans="1:9" x14ac:dyDescent="0.2">
      <c r="A425" t="s">
        <v>300</v>
      </c>
      <c r="D425" s="50">
        <f>D365</f>
        <v>4779.3149830543844</v>
      </c>
      <c r="E425" s="50">
        <f t="shared" ref="E425:H425" si="309">E365</f>
        <v>5502.7474955934331</v>
      </c>
      <c r="F425" s="50">
        <f t="shared" si="309"/>
        <v>5824.6236448553464</v>
      </c>
      <c r="G425" s="50">
        <f t="shared" si="309"/>
        <v>5654.8366562772298</v>
      </c>
      <c r="H425" s="50">
        <f t="shared" si="309"/>
        <v>5181.1215587991428</v>
      </c>
    </row>
    <row r="426" spans="1:9" x14ac:dyDescent="0.2">
      <c r="A426" t="s">
        <v>301</v>
      </c>
      <c r="D426" s="50">
        <f>D289</f>
        <v>671.42624999999998</v>
      </c>
      <c r="E426" s="50">
        <f t="shared" ref="E426:H426" si="310">E289</f>
        <v>738.56887500000005</v>
      </c>
      <c r="F426" s="50">
        <f t="shared" si="310"/>
        <v>812.42576250000013</v>
      </c>
      <c r="G426" s="50">
        <f t="shared" si="310"/>
        <v>893.6683387500002</v>
      </c>
      <c r="H426" s="50">
        <f t="shared" si="310"/>
        <v>983.0351726250002</v>
      </c>
    </row>
    <row r="427" spans="1:9" x14ac:dyDescent="0.2">
      <c r="A427" t="s">
        <v>302</v>
      </c>
      <c r="D427" s="50">
        <f>D425+D426</f>
        <v>5450.7412330543848</v>
      </c>
      <c r="E427" s="50">
        <f t="shared" ref="E427" si="311">E425+E426</f>
        <v>6241.316370593433</v>
      </c>
      <c r="F427" s="50">
        <f t="shared" ref="F427" si="312">F425+F426</f>
        <v>6637.0494073553464</v>
      </c>
      <c r="G427" s="50">
        <f t="shared" ref="G427" si="313">G425+G426</f>
        <v>6548.5049950272296</v>
      </c>
      <c r="H427" s="50">
        <f t="shared" ref="H427" si="314">H425+H426</f>
        <v>6164.1567314241429</v>
      </c>
    </row>
    <row r="429" spans="1:9" x14ac:dyDescent="0.2">
      <c r="A429" t="s">
        <v>303</v>
      </c>
      <c r="D429" s="50">
        <f>D366</f>
        <v>1234.4972179733345</v>
      </c>
      <c r="E429" s="50">
        <f>E366</f>
        <v>1454.602722052957</v>
      </c>
      <c r="F429" s="50">
        <f>F366</f>
        <v>1554.1118017071256</v>
      </c>
      <c r="G429" s="50">
        <f>G366</f>
        <v>1554.8343361096149</v>
      </c>
      <c r="H429" s="50">
        <f>H366</f>
        <v>1481.0102435235829</v>
      </c>
      <c r="I429" s="50"/>
    </row>
    <row r="430" spans="1:9" x14ac:dyDescent="0.2">
      <c r="A430" t="s">
        <v>304</v>
      </c>
      <c r="D430" s="50">
        <f>D290</f>
        <v>285.64181250000001</v>
      </c>
      <c r="E430" s="50">
        <f t="shared" ref="E430:H430" si="315">E290</f>
        <v>314.20599375000006</v>
      </c>
      <c r="F430" s="50">
        <f t="shared" si="315"/>
        <v>345.62659312500006</v>
      </c>
      <c r="G430" s="50">
        <f t="shared" si="315"/>
        <v>380.1892524375001</v>
      </c>
      <c r="H430" s="50">
        <f t="shared" si="315"/>
        <v>418.20817768125005</v>
      </c>
    </row>
    <row r="431" spans="1:9" x14ac:dyDescent="0.2">
      <c r="A431" t="s">
        <v>305</v>
      </c>
      <c r="D431" s="50">
        <f>D429+D430</f>
        <v>1520.1390304733345</v>
      </c>
      <c r="E431" s="50">
        <f t="shared" ref="E431" si="316">E429+E430</f>
        <v>1768.8087158029571</v>
      </c>
      <c r="F431" s="50">
        <f t="shared" ref="F431" si="317">F429+F430</f>
        <v>1899.7383948321256</v>
      </c>
      <c r="G431" s="50">
        <f t="shared" ref="G431" si="318">G429+G430</f>
        <v>1935.023588547115</v>
      </c>
      <c r="H431" s="50">
        <f t="shared" ref="H431" si="319">H429+H430</f>
        <v>1899.2184212048328</v>
      </c>
    </row>
    <row r="433" spans="1:10" x14ac:dyDescent="0.2">
      <c r="A433" t="s">
        <v>306</v>
      </c>
      <c r="D433" s="47">
        <f>D431/D427</f>
        <v>0.27888666246985044</v>
      </c>
      <c r="E433" s="47">
        <f>E431/E427</f>
        <v>0.28340314939599454</v>
      </c>
      <c r="F433" s="47">
        <f>F431/F427</f>
        <v>0.28623237198246365</v>
      </c>
      <c r="G433" s="47">
        <f>G431/G427</f>
        <v>0.29549089296206132</v>
      </c>
      <c r="H433" s="47">
        <f>H431/H427</f>
        <v>0.30810677014794929</v>
      </c>
    </row>
    <row r="435" spans="1:10" x14ac:dyDescent="0.2">
      <c r="A435" t="s">
        <v>291</v>
      </c>
      <c r="D435" s="50">
        <f>D31</f>
        <v>928.58</v>
      </c>
      <c r="E435" s="50">
        <f t="shared" ref="E435:H435" si="320">E31</f>
        <v>928.58</v>
      </c>
      <c r="F435" s="50">
        <f t="shared" si="320"/>
        <v>928.58</v>
      </c>
      <c r="G435" s="50">
        <f t="shared" si="320"/>
        <v>928.58</v>
      </c>
      <c r="H435" s="50">
        <f t="shared" si="320"/>
        <v>928.58</v>
      </c>
    </row>
    <row r="437" spans="1:10" x14ac:dyDescent="0.2">
      <c r="A437" t="s">
        <v>307</v>
      </c>
      <c r="D437" s="50">
        <f>D431-D435</f>
        <v>591.55903047333447</v>
      </c>
      <c r="E437" s="50">
        <f t="shared" ref="E437:H437" si="321">E431-E435</f>
        <v>840.22871580295703</v>
      </c>
      <c r="F437" s="50">
        <f t="shared" si="321"/>
        <v>971.15839483212551</v>
      </c>
      <c r="G437" s="50">
        <f t="shared" si="321"/>
        <v>1006.4435885471149</v>
      </c>
      <c r="H437" s="50">
        <f t="shared" si="321"/>
        <v>970.63842120483275</v>
      </c>
      <c r="J437" s="47"/>
    </row>
    <row r="439" spans="1:10" x14ac:dyDescent="0.2">
      <c r="A439" t="s">
        <v>314</v>
      </c>
      <c r="D439">
        <v>21</v>
      </c>
      <c r="E439">
        <v>22</v>
      </c>
      <c r="F439">
        <v>23</v>
      </c>
    </row>
    <row r="440" spans="1:10" x14ac:dyDescent="0.2">
      <c r="C440" t="s">
        <v>128</v>
      </c>
      <c r="F440" s="87">
        <v>15</v>
      </c>
    </row>
    <row r="441" spans="1:10" x14ac:dyDescent="0.2">
      <c r="C441" t="s">
        <v>131</v>
      </c>
      <c r="F441" s="50">
        <f>F437</f>
        <v>971.15839483212551</v>
      </c>
    </row>
    <row r="442" spans="1:10" x14ac:dyDescent="0.2">
      <c r="C442" t="s">
        <v>309</v>
      </c>
      <c r="D442" s="66">
        <v>0</v>
      </c>
      <c r="E442" s="66">
        <v>0</v>
      </c>
      <c r="F442" s="66">
        <f>F440*F441</f>
        <v>14567.375922481882</v>
      </c>
    </row>
    <row r="444" spans="1:10" x14ac:dyDescent="0.2">
      <c r="C444" t="s">
        <v>310</v>
      </c>
      <c r="F444" s="45">
        <f>NPV(10%,D442:F442)</f>
        <v>10944.68514085791</v>
      </c>
    </row>
    <row r="445" spans="1:10" x14ac:dyDescent="0.2">
      <c r="C445" t="s">
        <v>311</v>
      </c>
      <c r="F445">
        <v>69.75</v>
      </c>
    </row>
    <row r="446" spans="1:10" x14ac:dyDescent="0.2">
      <c r="C446" s="40" t="s">
        <v>312</v>
      </c>
      <c r="D446" s="40"/>
      <c r="F446" s="62">
        <f>F444/F445</f>
        <v>156.9130486144503</v>
      </c>
    </row>
    <row r="447" spans="1:10" x14ac:dyDescent="0.2">
      <c r="A447" s="53"/>
      <c r="B447" s="53"/>
      <c r="C447" s="53"/>
      <c r="D447" s="53"/>
      <c r="E447" s="53"/>
      <c r="F447" s="53"/>
      <c r="G447" s="53"/>
      <c r="H44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workbookViewId="0">
      <selection activeCell="U19" sqref="U19"/>
    </sheetView>
  </sheetViews>
  <sheetFormatPr baseColWidth="10" defaultRowHeight="16" x14ac:dyDescent="0.2"/>
  <cols>
    <col min="1" max="1" width="18" bestFit="1" customWidth="1"/>
  </cols>
  <sheetData>
    <row r="1" spans="1:10" x14ac:dyDescent="0.2">
      <c r="A1" t="s">
        <v>2</v>
      </c>
    </row>
    <row r="2" spans="1:10" x14ac:dyDescent="0.2">
      <c r="A2" t="s">
        <v>3</v>
      </c>
      <c r="B2">
        <v>13</v>
      </c>
      <c r="C2">
        <v>14</v>
      </c>
      <c r="D2">
        <v>15</v>
      </c>
      <c r="E2" s="1">
        <v>16</v>
      </c>
      <c r="F2" s="1">
        <v>17</v>
      </c>
      <c r="G2" s="1">
        <v>18</v>
      </c>
      <c r="H2" s="1">
        <v>19</v>
      </c>
      <c r="I2" s="1"/>
      <c r="J2" s="1"/>
    </row>
    <row r="3" spans="1:10" x14ac:dyDescent="0.2">
      <c r="A3" t="s">
        <v>4</v>
      </c>
      <c r="B3">
        <v>16.5</v>
      </c>
      <c r="C3">
        <v>14.8</v>
      </c>
      <c r="D3" s="2">
        <v>17.7</v>
      </c>
      <c r="E3" s="3">
        <v>20</v>
      </c>
      <c r="F3" s="4">
        <v>19</v>
      </c>
      <c r="G3" s="4">
        <v>17.8</v>
      </c>
      <c r="H3" s="4">
        <v>13.6</v>
      </c>
      <c r="I3" s="5"/>
      <c r="J3" s="5"/>
    </row>
    <row r="4" spans="1:10" x14ac:dyDescent="0.2">
      <c r="A4" t="s">
        <v>5</v>
      </c>
      <c r="D4" s="6">
        <v>158.69999999999999</v>
      </c>
      <c r="E4" s="7">
        <v>217.9</v>
      </c>
      <c r="F4" s="7">
        <v>246.9</v>
      </c>
      <c r="G4" s="7">
        <v>257.60000000000002</v>
      </c>
      <c r="H4" s="7">
        <v>245</v>
      </c>
      <c r="I4" s="5"/>
      <c r="J4" s="5"/>
    </row>
    <row r="5" spans="1:10" x14ac:dyDescent="0.2">
      <c r="A5" t="s">
        <v>11</v>
      </c>
      <c r="D5" s="8">
        <v>0.81</v>
      </c>
      <c r="E5" s="9">
        <v>0.73</v>
      </c>
      <c r="F5" s="9">
        <v>0.68</v>
      </c>
      <c r="G5" s="9">
        <v>0.63</v>
      </c>
      <c r="H5" s="21">
        <v>0.49</v>
      </c>
      <c r="I5" s="5"/>
      <c r="J5" s="5"/>
    </row>
    <row r="6" spans="1:10" x14ac:dyDescent="0.2">
      <c r="A6" s="1" t="s">
        <v>0</v>
      </c>
      <c r="B6" s="1"/>
      <c r="C6" s="1"/>
      <c r="D6" s="16">
        <f>D4*D5</f>
        <v>128.547</v>
      </c>
      <c r="E6" s="16">
        <f>E4*E5</f>
        <v>159.06700000000001</v>
      </c>
      <c r="F6" s="16">
        <f>F4*F5</f>
        <v>167.89200000000002</v>
      </c>
      <c r="G6" s="16">
        <f>G4*G5</f>
        <v>162.28800000000001</v>
      </c>
      <c r="H6" s="16">
        <f>H4*H5</f>
        <v>120.05</v>
      </c>
      <c r="I6" s="5"/>
      <c r="J6" s="5"/>
    </row>
    <row r="7" spans="1:10" x14ac:dyDescent="0.2">
      <c r="I7" s="10"/>
      <c r="J7" s="10"/>
    </row>
    <row r="8" spans="1:10" x14ac:dyDescent="0.2">
      <c r="A8">
        <v>13</v>
      </c>
      <c r="B8">
        <f>$B$3*B18</f>
        <v>66</v>
      </c>
      <c r="C8">
        <f>$B$3*C18</f>
        <v>41.25</v>
      </c>
      <c r="D8">
        <f t="shared" ref="D8:F8" si="0">$B$3*D18</f>
        <v>16.5</v>
      </c>
      <c r="E8">
        <f t="shared" si="0"/>
        <v>16.5</v>
      </c>
      <c r="F8">
        <f t="shared" si="0"/>
        <v>8.25</v>
      </c>
    </row>
    <row r="9" spans="1:10" x14ac:dyDescent="0.2">
      <c r="A9">
        <v>14</v>
      </c>
      <c r="C9">
        <f>$C$3*C19</f>
        <v>59.2</v>
      </c>
      <c r="D9">
        <f t="shared" ref="D9:G9" si="1">$C$3*D19</f>
        <v>37</v>
      </c>
      <c r="E9">
        <f t="shared" si="1"/>
        <v>14.8</v>
      </c>
      <c r="F9">
        <f t="shared" si="1"/>
        <v>14.8</v>
      </c>
      <c r="G9">
        <f t="shared" si="1"/>
        <v>7.4</v>
      </c>
    </row>
    <row r="10" spans="1:10" x14ac:dyDescent="0.2">
      <c r="A10">
        <v>15</v>
      </c>
      <c r="D10" s="6">
        <f>$D$3*D20</f>
        <v>70.8</v>
      </c>
      <c r="E10" s="6">
        <f t="shared" ref="E10:H10" si="2">$D$3*E20</f>
        <v>44.25</v>
      </c>
      <c r="F10" s="6">
        <f t="shared" si="2"/>
        <v>17.7</v>
      </c>
      <c r="G10" s="6">
        <f t="shared" si="2"/>
        <v>17.7</v>
      </c>
      <c r="H10" s="6">
        <f t="shared" si="2"/>
        <v>8.85</v>
      </c>
      <c r="J10" s="11"/>
    </row>
    <row r="11" spans="1:10" x14ac:dyDescent="0.2">
      <c r="A11">
        <v>16</v>
      </c>
      <c r="D11" s="6"/>
      <c r="E11" s="7">
        <f>$E$3*E21</f>
        <v>80</v>
      </c>
      <c r="F11" s="7">
        <f t="shared" ref="F11:H11" si="3">$E$3*F21</f>
        <v>50</v>
      </c>
      <c r="G11" s="7">
        <f t="shared" si="3"/>
        <v>20</v>
      </c>
      <c r="H11" s="7">
        <f t="shared" si="3"/>
        <v>20</v>
      </c>
      <c r="J11" s="7"/>
    </row>
    <row r="12" spans="1:10" x14ac:dyDescent="0.2">
      <c r="A12">
        <v>17</v>
      </c>
      <c r="D12" s="6"/>
      <c r="E12" s="7"/>
      <c r="F12" s="7">
        <f>$F$3*F22</f>
        <v>76</v>
      </c>
      <c r="G12" s="7">
        <f>$F$3*G22</f>
        <v>47.5</v>
      </c>
      <c r="H12" s="7">
        <f>$F$3*H22</f>
        <v>19</v>
      </c>
      <c r="J12" s="7"/>
    </row>
    <row r="13" spans="1:10" x14ac:dyDescent="0.2">
      <c r="A13">
        <v>18</v>
      </c>
      <c r="D13" s="6"/>
      <c r="E13" s="7"/>
      <c r="F13" s="7"/>
      <c r="G13" s="7">
        <f>$G$3*G23</f>
        <v>67.64</v>
      </c>
      <c r="H13" s="7">
        <f>$G$3*H23</f>
        <v>42.274999999999999</v>
      </c>
      <c r="J13" s="7"/>
    </row>
    <row r="14" spans="1:10" x14ac:dyDescent="0.2">
      <c r="A14">
        <v>19</v>
      </c>
      <c r="D14" s="6"/>
      <c r="E14" s="7"/>
      <c r="F14" s="7"/>
      <c r="G14" s="7"/>
      <c r="H14" s="6">
        <f>$H$3*H24</f>
        <v>49.095999999999997</v>
      </c>
      <c r="J14" s="7"/>
    </row>
    <row r="15" spans="1:10" x14ac:dyDescent="0.2">
      <c r="A15" s="1" t="s">
        <v>1</v>
      </c>
      <c r="B15" s="1"/>
      <c r="C15" s="1"/>
      <c r="D15" s="14">
        <f>SUM(D8:D14)</f>
        <v>124.3</v>
      </c>
      <c r="E15" s="14">
        <f>SUM(E8:E14)</f>
        <v>155.55000000000001</v>
      </c>
      <c r="F15" s="14">
        <f>SUM(F8:F14)</f>
        <v>166.75</v>
      </c>
      <c r="G15" s="14">
        <f>SUM(G8:G14)</f>
        <v>160.24</v>
      </c>
      <c r="H15" s="14">
        <f>SUM(H8:H14)</f>
        <v>139.221</v>
      </c>
      <c r="I15" s="7"/>
      <c r="J15" s="7"/>
    </row>
    <row r="16" spans="1:10" s="1" customFormat="1" x14ac:dyDescent="0.2">
      <c r="D16" s="13"/>
      <c r="E16" s="13"/>
      <c r="F16" s="13"/>
      <c r="G16" s="13"/>
      <c r="H16" s="13"/>
      <c r="I16" s="7"/>
      <c r="J16" s="7"/>
    </row>
    <row r="17" spans="1:29" s="1" customFormat="1" x14ac:dyDescent="0.2">
      <c r="A17" t="s">
        <v>3</v>
      </c>
      <c r="B17">
        <v>1</v>
      </c>
      <c r="C17">
        <v>2</v>
      </c>
      <c r="D17">
        <v>3</v>
      </c>
      <c r="E17">
        <v>4</v>
      </c>
      <c r="F17">
        <v>5</v>
      </c>
      <c r="G17">
        <v>6</v>
      </c>
      <c r="I17" s="13" t="s">
        <v>14</v>
      </c>
      <c r="J17" s="7"/>
      <c r="M17" t="s">
        <v>3</v>
      </c>
      <c r="N17">
        <v>13</v>
      </c>
      <c r="O17">
        <f>N17+1</f>
        <v>14</v>
      </c>
      <c r="P17">
        <f t="shared" ref="P17:Z17" si="4">O17+1</f>
        <v>15</v>
      </c>
      <c r="Q17">
        <f t="shared" si="4"/>
        <v>16</v>
      </c>
      <c r="R17">
        <f t="shared" si="4"/>
        <v>17</v>
      </c>
      <c r="S17">
        <f t="shared" si="4"/>
        <v>18</v>
      </c>
      <c r="T17">
        <f t="shared" si="4"/>
        <v>19</v>
      </c>
      <c r="U17">
        <f t="shared" si="4"/>
        <v>20</v>
      </c>
      <c r="V17">
        <f t="shared" si="4"/>
        <v>21</v>
      </c>
      <c r="W17">
        <f t="shared" si="4"/>
        <v>22</v>
      </c>
      <c r="X17">
        <f t="shared" si="4"/>
        <v>23</v>
      </c>
      <c r="Y17">
        <f t="shared" si="4"/>
        <v>24</v>
      </c>
      <c r="Z17">
        <f t="shared" si="4"/>
        <v>25</v>
      </c>
    </row>
    <row r="18" spans="1:29" s="1" customFormat="1" x14ac:dyDescent="0.2">
      <c r="A18" s="1" t="s">
        <v>19</v>
      </c>
      <c r="B18" s="1">
        <v>4</v>
      </c>
      <c r="C18" s="1">
        <v>2.5</v>
      </c>
      <c r="D18" s="13">
        <v>1</v>
      </c>
      <c r="E18" s="13">
        <v>1</v>
      </c>
      <c r="F18" s="13">
        <v>0.5</v>
      </c>
      <c r="G18" s="13">
        <v>0</v>
      </c>
      <c r="I18" s="13">
        <f>SUM(B18:G18)</f>
        <v>9</v>
      </c>
      <c r="J18" s="7"/>
      <c r="M18" s="1" t="s">
        <v>19</v>
      </c>
      <c r="N18" s="1">
        <v>4</v>
      </c>
      <c r="O18" s="1">
        <v>2.5</v>
      </c>
      <c r="P18" s="13">
        <v>1</v>
      </c>
      <c r="Q18" s="13">
        <v>1</v>
      </c>
      <c r="R18" s="13">
        <v>0.5</v>
      </c>
      <c r="S18" s="13">
        <v>0</v>
      </c>
      <c r="AB18" s="1">
        <f>SUM(N18:Z18)</f>
        <v>9</v>
      </c>
    </row>
    <row r="19" spans="1:29" s="1" customFormat="1" x14ac:dyDescent="0.2">
      <c r="A19" s="1" t="s">
        <v>20</v>
      </c>
      <c r="C19" s="1">
        <v>4</v>
      </c>
      <c r="D19" s="1">
        <v>2.5</v>
      </c>
      <c r="E19" s="13">
        <v>1</v>
      </c>
      <c r="F19" s="13">
        <v>1</v>
      </c>
      <c r="G19" s="13">
        <v>0.5</v>
      </c>
      <c r="H19" s="13"/>
      <c r="I19" s="7"/>
      <c r="J19" s="7"/>
      <c r="M19" s="1" t="s">
        <v>20</v>
      </c>
      <c r="O19" s="1">
        <v>4</v>
      </c>
      <c r="P19" s="1">
        <v>2.5</v>
      </c>
      <c r="Q19" s="13">
        <v>1</v>
      </c>
      <c r="R19" s="13">
        <v>1</v>
      </c>
      <c r="S19" s="13">
        <v>0.5</v>
      </c>
      <c r="T19" s="13">
        <v>0</v>
      </c>
      <c r="AB19" s="1">
        <f t="shared" ref="AB19:AB30" si="5">SUM(N19:Z19)</f>
        <v>9</v>
      </c>
    </row>
    <row r="20" spans="1:29" s="1" customFormat="1" x14ac:dyDescent="0.2">
      <c r="A20" s="1" t="s">
        <v>21</v>
      </c>
      <c r="D20" s="1">
        <v>4</v>
      </c>
      <c r="E20" s="1">
        <v>2.5</v>
      </c>
      <c r="F20" s="13">
        <v>1</v>
      </c>
      <c r="G20" s="13">
        <v>1</v>
      </c>
      <c r="H20" s="13">
        <v>0.5</v>
      </c>
      <c r="I20" s="7"/>
      <c r="J20" s="7"/>
      <c r="M20" s="1" t="s">
        <v>21</v>
      </c>
      <c r="P20" s="1">
        <v>4</v>
      </c>
      <c r="Q20" s="1">
        <v>2.5</v>
      </c>
      <c r="R20" s="13">
        <v>1</v>
      </c>
      <c r="S20" s="13">
        <v>1</v>
      </c>
      <c r="T20" s="13">
        <v>0.5</v>
      </c>
      <c r="U20" s="13">
        <v>0</v>
      </c>
      <c r="AB20" s="1">
        <f t="shared" si="5"/>
        <v>9</v>
      </c>
    </row>
    <row r="21" spans="1:29" s="1" customFormat="1" x14ac:dyDescent="0.2">
      <c r="A21" s="1" t="s">
        <v>22</v>
      </c>
      <c r="D21" s="13"/>
      <c r="E21" s="1">
        <v>4</v>
      </c>
      <c r="F21" s="1">
        <v>2.5</v>
      </c>
      <c r="G21" s="13">
        <v>1</v>
      </c>
      <c r="H21" s="13">
        <v>1</v>
      </c>
      <c r="I21" s="7"/>
      <c r="J21" s="7"/>
      <c r="M21" s="1" t="s">
        <v>22</v>
      </c>
      <c r="P21" s="13"/>
      <c r="Q21" s="1">
        <v>4</v>
      </c>
      <c r="R21" s="1">
        <v>2.5</v>
      </c>
      <c r="S21" s="13">
        <v>1</v>
      </c>
      <c r="T21" s="13">
        <v>1</v>
      </c>
      <c r="U21" s="13">
        <v>0.5</v>
      </c>
      <c r="V21" s="13">
        <v>0</v>
      </c>
      <c r="AB21" s="1">
        <f t="shared" si="5"/>
        <v>9</v>
      </c>
    </row>
    <row r="22" spans="1:29" s="1" customFormat="1" x14ac:dyDescent="0.2">
      <c r="A22" s="1" t="s">
        <v>23</v>
      </c>
      <c r="D22" s="13"/>
      <c r="E22" s="13"/>
      <c r="F22" s="1">
        <v>4</v>
      </c>
      <c r="G22" s="1">
        <v>2.5</v>
      </c>
      <c r="H22" s="13">
        <v>1</v>
      </c>
      <c r="I22" s="7"/>
      <c r="J22" s="7"/>
      <c r="M22" s="1" t="s">
        <v>23</v>
      </c>
      <c r="P22" s="13"/>
      <c r="Q22" s="13"/>
      <c r="R22" s="1">
        <v>4</v>
      </c>
      <c r="S22" s="1">
        <v>2.5</v>
      </c>
      <c r="T22" s="13">
        <v>1</v>
      </c>
      <c r="U22" s="13">
        <v>1</v>
      </c>
      <c r="V22" s="13">
        <v>0.5</v>
      </c>
      <c r="W22" s="13">
        <v>0</v>
      </c>
      <c r="AB22" s="1">
        <f t="shared" si="5"/>
        <v>9</v>
      </c>
    </row>
    <row r="23" spans="1:29" s="1" customFormat="1" x14ac:dyDescent="0.2">
      <c r="A23" s="1" t="s">
        <v>24</v>
      </c>
      <c r="D23" s="13"/>
      <c r="E23" s="13"/>
      <c r="F23" s="13"/>
      <c r="G23" s="13">
        <f>F22*0.95</f>
        <v>3.8</v>
      </c>
      <c r="H23" s="13">
        <f>G22*0.95</f>
        <v>2.375</v>
      </c>
      <c r="I23" s="7"/>
      <c r="J23" s="7"/>
      <c r="M23" s="1" t="s">
        <v>24</v>
      </c>
      <c r="P23" s="13"/>
      <c r="Q23" s="13"/>
      <c r="R23" s="13"/>
      <c r="S23" s="13">
        <f>R22*0.95</f>
        <v>3.8</v>
      </c>
      <c r="T23" s="13">
        <f>S22*0.95</f>
        <v>2.375</v>
      </c>
      <c r="U23" s="13">
        <f t="shared" ref="U23:Z29" si="6">T22*0.95</f>
        <v>0.95</v>
      </c>
      <c r="V23" s="13">
        <f t="shared" si="6"/>
        <v>0.95</v>
      </c>
      <c r="W23" s="13">
        <f t="shared" si="6"/>
        <v>0.47499999999999998</v>
      </c>
      <c r="X23" s="13">
        <f t="shared" si="6"/>
        <v>0</v>
      </c>
      <c r="AB23" s="3">
        <f t="shared" si="5"/>
        <v>8.5499999999999989</v>
      </c>
    </row>
    <row r="24" spans="1:29" s="1" customFormat="1" x14ac:dyDescent="0.2">
      <c r="A24" s="1" t="s">
        <v>25</v>
      </c>
      <c r="D24" s="13"/>
      <c r="E24" s="13"/>
      <c r="F24" s="13"/>
      <c r="G24"/>
      <c r="H24" s="13">
        <f>G23*0.95</f>
        <v>3.61</v>
      </c>
      <c r="I24" s="7"/>
      <c r="J24" s="7"/>
      <c r="M24" s="1" t="s">
        <v>25</v>
      </c>
      <c r="P24" s="13"/>
      <c r="Q24" s="13"/>
      <c r="R24" s="13"/>
      <c r="S24"/>
      <c r="T24" s="13">
        <f>S23*0.95</f>
        <v>3.61</v>
      </c>
      <c r="U24" s="13">
        <f t="shared" si="6"/>
        <v>2.2562500000000001</v>
      </c>
      <c r="V24" s="13">
        <f t="shared" si="6"/>
        <v>0.90249999999999997</v>
      </c>
      <c r="W24" s="13">
        <f t="shared" si="6"/>
        <v>0.90249999999999997</v>
      </c>
      <c r="X24" s="13">
        <f t="shared" si="6"/>
        <v>0.45124999999999998</v>
      </c>
      <c r="Y24" s="13">
        <f t="shared" si="6"/>
        <v>0</v>
      </c>
      <c r="AB24" s="3">
        <f t="shared" si="5"/>
        <v>8.1225000000000005</v>
      </c>
    </row>
    <row r="25" spans="1:29" s="1" customFormat="1" x14ac:dyDescent="0.2">
      <c r="D25" s="13"/>
      <c r="E25" s="13"/>
      <c r="F25" s="13"/>
      <c r="G25"/>
      <c r="H25" s="13"/>
      <c r="I25" s="7"/>
      <c r="J25" s="7"/>
      <c r="U25" s="13">
        <f>T24*0.95</f>
        <v>3.4294999999999995</v>
      </c>
      <c r="V25" s="13">
        <f t="shared" si="6"/>
        <v>2.1434375000000001</v>
      </c>
      <c r="W25" s="13">
        <f t="shared" si="6"/>
        <v>0.85737499999999989</v>
      </c>
      <c r="X25" s="13">
        <f t="shared" si="6"/>
        <v>0.85737499999999989</v>
      </c>
      <c r="Y25" s="13">
        <f t="shared" si="6"/>
        <v>0.42868749999999994</v>
      </c>
      <c r="Z25" s="13">
        <f t="shared" si="6"/>
        <v>0</v>
      </c>
      <c r="AB25" s="3">
        <f t="shared" si="5"/>
        <v>7.7163750000000002</v>
      </c>
    </row>
    <row r="26" spans="1:29" s="1" customFormat="1" x14ac:dyDescent="0.2">
      <c r="A26" s="1" t="s">
        <v>7</v>
      </c>
      <c r="D26" s="15">
        <f>(D15/D6)-1</f>
        <v>-3.3038499537134225E-2</v>
      </c>
      <c r="E26" s="15">
        <f>(E15/E6)-1</f>
        <v>-2.211017998704945E-2</v>
      </c>
      <c r="F26" s="15">
        <f>(F15/F6)-1</f>
        <v>-6.8019917566055632E-3</v>
      </c>
      <c r="G26" s="15">
        <f>(G15/G6)-1</f>
        <v>-1.2619540569851151E-2</v>
      </c>
      <c r="H26" s="15">
        <f>(H15/H6)-1</f>
        <v>0.15969179508538112</v>
      </c>
      <c r="I26" s="7"/>
      <c r="J26" s="7"/>
      <c r="V26" s="13">
        <f>U25*0.95</f>
        <v>3.2580249999999995</v>
      </c>
      <c r="W26" s="13">
        <f t="shared" si="6"/>
        <v>2.036265625</v>
      </c>
      <c r="X26" s="13">
        <f t="shared" si="6"/>
        <v>0.81450624999999988</v>
      </c>
      <c r="Y26" s="13">
        <f t="shared" si="6"/>
        <v>0.81450624999999988</v>
      </c>
      <c r="Z26" s="13">
        <f t="shared" si="6"/>
        <v>0.40725312499999994</v>
      </c>
      <c r="AA26" s="13"/>
      <c r="AB26" s="3">
        <f t="shared" si="5"/>
        <v>7.330556249999999</v>
      </c>
    </row>
    <row r="27" spans="1:29" x14ac:dyDescent="0.2">
      <c r="A27" s="35"/>
      <c r="B27" s="35"/>
      <c r="C27" s="35"/>
      <c r="D27" s="36"/>
      <c r="E27" s="36"/>
      <c r="F27" s="36"/>
      <c r="G27" s="36"/>
      <c r="H27" s="36"/>
      <c r="I27" s="12"/>
      <c r="J27" s="1"/>
      <c r="W27" s="13">
        <f>V26*0.95</f>
        <v>3.0951237499999995</v>
      </c>
      <c r="X27" s="13">
        <f t="shared" si="6"/>
        <v>1.9344523437499999</v>
      </c>
      <c r="Y27" s="13">
        <f t="shared" si="6"/>
        <v>0.77378093749999988</v>
      </c>
      <c r="Z27" s="13">
        <f t="shared" si="6"/>
        <v>0.77378093749999988</v>
      </c>
      <c r="AA27" s="13"/>
      <c r="AB27" s="3">
        <f t="shared" si="5"/>
        <v>6.5771379687499989</v>
      </c>
    </row>
    <row r="28" spans="1:29" x14ac:dyDescent="0.2">
      <c r="A28" t="s">
        <v>3</v>
      </c>
      <c r="B28">
        <v>13</v>
      </c>
      <c r="C28">
        <v>14</v>
      </c>
      <c r="D28">
        <v>15</v>
      </c>
      <c r="E28" s="1">
        <v>16</v>
      </c>
      <c r="F28" s="1">
        <v>17</v>
      </c>
      <c r="G28" s="1">
        <v>18</v>
      </c>
      <c r="H28" s="1">
        <v>19</v>
      </c>
      <c r="I28" s="1"/>
      <c r="J28" s="1"/>
      <c r="X28" s="13">
        <f>W27*0.95</f>
        <v>2.9403675624999992</v>
      </c>
      <c r="Y28" s="13">
        <f t="shared" si="6"/>
        <v>1.8377297265624999</v>
      </c>
      <c r="Z28" s="13">
        <f t="shared" si="6"/>
        <v>0.7350918906249998</v>
      </c>
      <c r="AA28" s="13"/>
      <c r="AB28" s="3">
        <f t="shared" si="5"/>
        <v>5.5131891796874992</v>
      </c>
    </row>
    <row r="29" spans="1:29" x14ac:dyDescent="0.2">
      <c r="A29" t="s">
        <v>4</v>
      </c>
      <c r="B29">
        <v>16.5</v>
      </c>
      <c r="C29">
        <v>14.6</v>
      </c>
      <c r="D29" s="2">
        <v>17.7</v>
      </c>
      <c r="E29" s="3">
        <v>20</v>
      </c>
      <c r="F29" s="4">
        <v>19</v>
      </c>
      <c r="G29" s="4">
        <v>17.8</v>
      </c>
      <c r="H29" s="4">
        <v>13.6</v>
      </c>
      <c r="I29" s="5"/>
      <c r="J29" s="5"/>
      <c r="Y29" s="13">
        <f>X28*0.95</f>
        <v>2.7933491843749989</v>
      </c>
      <c r="Z29" s="13">
        <f t="shared" si="6"/>
        <v>1.7458432402343749</v>
      </c>
      <c r="AA29" s="13"/>
      <c r="AB29" s="3">
        <f t="shared" si="5"/>
        <v>4.5391924246093733</v>
      </c>
      <c r="AC29" s="13"/>
    </row>
    <row r="30" spans="1:29" x14ac:dyDescent="0.2">
      <c r="A30" s="1" t="s">
        <v>5</v>
      </c>
      <c r="B30" s="1"/>
      <c r="C30" s="1"/>
      <c r="D30" s="7">
        <v>158.69999999999999</v>
      </c>
      <c r="E30" s="7">
        <v>217.9</v>
      </c>
      <c r="F30" s="7">
        <v>246.9</v>
      </c>
      <c r="G30" s="7">
        <v>257.60000000000002</v>
      </c>
      <c r="H30" s="7">
        <v>245</v>
      </c>
      <c r="I30" s="5"/>
      <c r="J30" s="5"/>
      <c r="Z30" s="13">
        <f>Y29*0.95</f>
        <v>2.653681725156249</v>
      </c>
      <c r="AB30" s="3">
        <f t="shared" si="5"/>
        <v>2.653681725156249</v>
      </c>
    </row>
    <row r="31" spans="1:29" x14ac:dyDescent="0.2">
      <c r="A31" t="s">
        <v>12</v>
      </c>
      <c r="D31" s="8">
        <f>1-D5</f>
        <v>0.18999999999999995</v>
      </c>
      <c r="E31" s="8">
        <f t="shared" ref="E31:H31" si="7">1-E5</f>
        <v>0.27</v>
      </c>
      <c r="F31" s="8">
        <f t="shared" si="7"/>
        <v>0.31999999999999995</v>
      </c>
      <c r="G31" s="8">
        <f t="shared" si="7"/>
        <v>0.37</v>
      </c>
      <c r="H31" s="21">
        <f t="shared" si="7"/>
        <v>0.51</v>
      </c>
      <c r="I31" s="5"/>
      <c r="J31" s="5"/>
      <c r="O31" s="2">
        <f>SUM(O18:O30)</f>
        <v>6.5</v>
      </c>
      <c r="P31" s="2">
        <f t="shared" ref="P31:Z31" si="8">SUM(P18:P30)</f>
        <v>7.5</v>
      </c>
      <c r="Q31" s="2">
        <f t="shared" si="8"/>
        <v>8.5</v>
      </c>
      <c r="R31" s="2">
        <f t="shared" si="8"/>
        <v>9</v>
      </c>
      <c r="S31" s="2">
        <f t="shared" si="8"/>
        <v>8.8000000000000007</v>
      </c>
      <c r="T31" s="2">
        <f t="shared" si="8"/>
        <v>8.4849999999999994</v>
      </c>
      <c r="U31" s="2">
        <f t="shared" si="8"/>
        <v>8.1357499999999998</v>
      </c>
      <c r="V31" s="2">
        <f t="shared" si="8"/>
        <v>7.7539625000000001</v>
      </c>
      <c r="W31" s="2">
        <f t="shared" si="8"/>
        <v>7.3662643749999983</v>
      </c>
      <c r="X31" s="2">
        <f t="shared" si="8"/>
        <v>6.9979511562499983</v>
      </c>
      <c r="Y31" s="2">
        <f t="shared" si="8"/>
        <v>6.6480535984374987</v>
      </c>
      <c r="Z31" s="2">
        <f t="shared" si="8"/>
        <v>6.3156509185156233</v>
      </c>
      <c r="AB31" s="1"/>
    </row>
    <row r="32" spans="1:29" x14ac:dyDescent="0.2">
      <c r="A32" t="s">
        <v>9</v>
      </c>
      <c r="D32" s="17">
        <f>D30*D31</f>
        <v>30.152999999999988</v>
      </c>
      <c r="E32" s="17">
        <f>E30*E31</f>
        <v>58.833000000000006</v>
      </c>
      <c r="F32" s="17">
        <f>F30*F31</f>
        <v>79.007999999999996</v>
      </c>
      <c r="G32" s="17">
        <f>G30*G31</f>
        <v>95.312000000000012</v>
      </c>
      <c r="H32" s="17">
        <f>H30*H31</f>
        <v>124.95</v>
      </c>
      <c r="I32" s="5"/>
      <c r="J32" s="5"/>
    </row>
    <row r="33" spans="1:31" x14ac:dyDescent="0.2">
      <c r="I33" s="10"/>
      <c r="J33" s="10"/>
      <c r="M33" t="s">
        <v>3</v>
      </c>
      <c r="N33">
        <v>1</v>
      </c>
      <c r="O33">
        <v>2</v>
      </c>
      <c r="P33">
        <v>3</v>
      </c>
      <c r="Q33">
        <v>4</v>
      </c>
      <c r="R33">
        <v>5</v>
      </c>
      <c r="S33">
        <v>6</v>
      </c>
      <c r="AB33" s="1"/>
    </row>
    <row r="34" spans="1:31" x14ac:dyDescent="0.2">
      <c r="A34">
        <v>13</v>
      </c>
      <c r="B34" s="6">
        <f>$B$29*B44</f>
        <v>8.25</v>
      </c>
      <c r="C34" s="6">
        <f t="shared" ref="C34:G34" si="9">$B$29*C44</f>
        <v>16.5</v>
      </c>
      <c r="D34" s="6">
        <f t="shared" si="9"/>
        <v>16.5</v>
      </c>
      <c r="E34" s="6">
        <f t="shared" si="9"/>
        <v>16.5</v>
      </c>
      <c r="F34" s="6">
        <f t="shared" si="9"/>
        <v>16.5</v>
      </c>
      <c r="G34" s="6">
        <f t="shared" si="9"/>
        <v>16.5</v>
      </c>
      <c r="H34" s="6"/>
      <c r="I34" s="2"/>
      <c r="J34" s="11"/>
      <c r="M34" t="s">
        <v>26</v>
      </c>
      <c r="N34">
        <v>0.5</v>
      </c>
      <c r="O34">
        <v>1</v>
      </c>
      <c r="P34">
        <v>1</v>
      </c>
      <c r="Q34">
        <v>1</v>
      </c>
      <c r="R34">
        <v>1</v>
      </c>
      <c r="S34">
        <v>1</v>
      </c>
      <c r="AB34" s="1">
        <f t="shared" ref="AB34:AB45" si="10">SUM(N34:Z34)</f>
        <v>5.5</v>
      </c>
    </row>
    <row r="35" spans="1:31" x14ac:dyDescent="0.2">
      <c r="A35">
        <v>14</v>
      </c>
      <c r="B35" s="6"/>
      <c r="C35" s="6">
        <f>$C$29*C45</f>
        <v>7.3</v>
      </c>
      <c r="D35" s="6">
        <f t="shared" ref="D35:H35" si="11">$C$29*D45</f>
        <v>14.6</v>
      </c>
      <c r="E35" s="6">
        <f t="shared" si="11"/>
        <v>14.6</v>
      </c>
      <c r="F35" s="6">
        <f t="shared" si="11"/>
        <v>14.6</v>
      </c>
      <c r="G35" s="6">
        <f t="shared" si="11"/>
        <v>14.6</v>
      </c>
      <c r="H35" s="6">
        <f t="shared" si="11"/>
        <v>14.6</v>
      </c>
      <c r="I35" s="2"/>
      <c r="J35" s="11"/>
      <c r="M35" t="s">
        <v>27</v>
      </c>
      <c r="O35">
        <v>0.5</v>
      </c>
      <c r="P35">
        <v>1</v>
      </c>
      <c r="Q35">
        <v>1</v>
      </c>
      <c r="R35">
        <v>1</v>
      </c>
      <c r="S35">
        <v>1</v>
      </c>
      <c r="T35">
        <v>1</v>
      </c>
      <c r="AB35" s="1">
        <f t="shared" si="10"/>
        <v>5.5</v>
      </c>
    </row>
    <row r="36" spans="1:31" x14ac:dyDescent="0.2">
      <c r="A36">
        <v>15</v>
      </c>
      <c r="B36" s="6"/>
      <c r="C36" s="6"/>
      <c r="D36" s="6">
        <f>$D$29*D46</f>
        <v>8.85</v>
      </c>
      <c r="E36" s="6">
        <f t="shared" ref="E36:H36" si="12">$D$29*E46</f>
        <v>17.7</v>
      </c>
      <c r="F36" s="6">
        <f t="shared" si="12"/>
        <v>17.7</v>
      </c>
      <c r="G36" s="6">
        <f t="shared" si="12"/>
        <v>17.7</v>
      </c>
      <c r="H36" s="6">
        <f t="shared" si="12"/>
        <v>17.7</v>
      </c>
      <c r="I36" s="2"/>
      <c r="J36" s="11"/>
      <c r="M36" t="s">
        <v>28</v>
      </c>
      <c r="P36">
        <v>0.5</v>
      </c>
      <c r="Q36">
        <v>1</v>
      </c>
      <c r="R36">
        <v>1</v>
      </c>
      <c r="S36">
        <v>1</v>
      </c>
      <c r="T36">
        <v>1</v>
      </c>
      <c r="U36">
        <v>1</v>
      </c>
      <c r="AB36" s="1">
        <f t="shared" si="10"/>
        <v>5.5</v>
      </c>
    </row>
    <row r="37" spans="1:31" x14ac:dyDescent="0.2">
      <c r="A37">
        <v>16</v>
      </c>
      <c r="B37" s="6"/>
      <c r="C37" s="6"/>
      <c r="D37" s="6"/>
      <c r="E37" s="7">
        <f>$E$29*E47</f>
        <v>10</v>
      </c>
      <c r="F37" s="7">
        <f t="shared" ref="F37:H37" si="13">$E$29*F47</f>
        <v>20</v>
      </c>
      <c r="G37" s="7">
        <f t="shared" si="13"/>
        <v>20</v>
      </c>
      <c r="H37" s="7">
        <f t="shared" si="13"/>
        <v>20</v>
      </c>
      <c r="I37" s="2"/>
      <c r="J37" s="7"/>
      <c r="M37" t="s">
        <v>29</v>
      </c>
      <c r="Q37">
        <v>0.5</v>
      </c>
      <c r="R37">
        <v>1</v>
      </c>
      <c r="S37">
        <v>1</v>
      </c>
      <c r="T37">
        <v>1</v>
      </c>
      <c r="U37">
        <v>1</v>
      </c>
      <c r="V37">
        <v>1</v>
      </c>
      <c r="AB37" s="1">
        <f t="shared" si="10"/>
        <v>5.5</v>
      </c>
    </row>
    <row r="38" spans="1:31" x14ac:dyDescent="0.2">
      <c r="A38">
        <v>17</v>
      </c>
      <c r="B38" s="6"/>
      <c r="C38" s="6"/>
      <c r="D38" s="6"/>
      <c r="E38" s="7"/>
      <c r="F38" s="7">
        <f>$F$29*F48</f>
        <v>9.5</v>
      </c>
      <c r="G38" s="7">
        <f t="shared" ref="G38:H38" si="14">$F$29*G48</f>
        <v>19</v>
      </c>
      <c r="H38" s="7">
        <f t="shared" si="14"/>
        <v>19</v>
      </c>
      <c r="I38" s="2"/>
      <c r="J38" s="7"/>
      <c r="M38" t="s">
        <v>30</v>
      </c>
      <c r="R38">
        <v>0.5</v>
      </c>
      <c r="S38">
        <v>1</v>
      </c>
      <c r="T38">
        <v>1</v>
      </c>
      <c r="U38">
        <v>1</v>
      </c>
      <c r="V38">
        <v>1</v>
      </c>
      <c r="W38">
        <v>1</v>
      </c>
      <c r="AB38" s="3">
        <f t="shared" si="10"/>
        <v>5.5</v>
      </c>
    </row>
    <row r="39" spans="1:31" x14ac:dyDescent="0.2">
      <c r="A39">
        <v>18</v>
      </c>
      <c r="B39" s="6"/>
      <c r="C39" s="6"/>
      <c r="D39" s="6"/>
      <c r="E39" s="7"/>
      <c r="F39" s="7"/>
      <c r="G39" s="7">
        <f>$G$29*G49</f>
        <v>9.7900000000000009</v>
      </c>
      <c r="H39" s="7">
        <f>$G$29*H49</f>
        <v>19.580000000000002</v>
      </c>
      <c r="I39" s="2"/>
      <c r="J39" s="7"/>
      <c r="M39" t="s">
        <v>31</v>
      </c>
      <c r="S39" s="13">
        <f>R38*1.1</f>
        <v>0.55000000000000004</v>
      </c>
      <c r="T39" s="13">
        <f>S38*1.1</f>
        <v>1.1000000000000001</v>
      </c>
      <c r="U39" s="13">
        <f t="shared" ref="U39:Z44" si="15">T38*1.1</f>
        <v>1.1000000000000001</v>
      </c>
      <c r="V39" s="13">
        <f t="shared" si="15"/>
        <v>1.1000000000000001</v>
      </c>
      <c r="W39" s="13">
        <f t="shared" si="15"/>
        <v>1.1000000000000001</v>
      </c>
      <c r="X39" s="13">
        <f t="shared" si="15"/>
        <v>1.1000000000000001</v>
      </c>
      <c r="AB39" s="3">
        <f t="shared" si="10"/>
        <v>6.0500000000000007</v>
      </c>
    </row>
    <row r="40" spans="1:31" x14ac:dyDescent="0.2">
      <c r="A40">
        <v>19</v>
      </c>
      <c r="B40" s="6"/>
      <c r="C40" s="6"/>
      <c r="D40" s="6"/>
      <c r="E40" s="7"/>
      <c r="F40" s="7"/>
      <c r="G40" s="7"/>
      <c r="H40" s="6">
        <f>$H$29*H50</f>
        <v>8.2280000000000015</v>
      </c>
      <c r="I40" s="2"/>
      <c r="J40" s="7"/>
      <c r="M40" t="s">
        <v>32</v>
      </c>
      <c r="T40" s="13">
        <f>S39*1.1</f>
        <v>0.60500000000000009</v>
      </c>
      <c r="U40" s="13">
        <f>T39*1.1</f>
        <v>1.2100000000000002</v>
      </c>
      <c r="V40" s="13">
        <f t="shared" si="15"/>
        <v>1.2100000000000002</v>
      </c>
      <c r="W40" s="13">
        <f t="shared" si="15"/>
        <v>1.2100000000000002</v>
      </c>
      <c r="X40" s="13">
        <f t="shared" si="15"/>
        <v>1.2100000000000002</v>
      </c>
      <c r="Y40" s="13">
        <f t="shared" si="15"/>
        <v>1.2100000000000002</v>
      </c>
      <c r="AB40" s="3">
        <f t="shared" si="10"/>
        <v>6.6550000000000002</v>
      </c>
    </row>
    <row r="41" spans="1:31" x14ac:dyDescent="0.2">
      <c r="A41" s="1" t="s">
        <v>1</v>
      </c>
      <c r="B41" s="1"/>
      <c r="C41" s="1"/>
      <c r="D41" s="18">
        <f>SUM(D34:D40)</f>
        <v>39.950000000000003</v>
      </c>
      <c r="E41" s="18">
        <f>SUM(E34:E40)</f>
        <v>58.8</v>
      </c>
      <c r="F41" s="18">
        <f>SUM(F34:F40)</f>
        <v>78.3</v>
      </c>
      <c r="G41" s="18">
        <f>SUM(G34:G40)</f>
        <v>97.59</v>
      </c>
      <c r="H41" s="18">
        <f>SUM(H34:H40)</f>
        <v>99.108000000000004</v>
      </c>
      <c r="I41" s="7"/>
      <c r="J41" s="7"/>
      <c r="U41" s="13">
        <f>T40*1.1</f>
        <v>0.6655000000000002</v>
      </c>
      <c r="V41" s="13">
        <f>U40*1.1</f>
        <v>1.3310000000000004</v>
      </c>
      <c r="W41" s="13">
        <f t="shared" si="15"/>
        <v>1.3310000000000004</v>
      </c>
      <c r="X41" s="13">
        <f t="shared" si="15"/>
        <v>1.3310000000000004</v>
      </c>
      <c r="Y41" s="13">
        <f t="shared" si="15"/>
        <v>1.3310000000000004</v>
      </c>
      <c r="Z41" s="13">
        <f t="shared" si="15"/>
        <v>1.3310000000000004</v>
      </c>
      <c r="AB41" s="3">
        <f t="shared" si="10"/>
        <v>7.3205000000000027</v>
      </c>
    </row>
    <row r="42" spans="1:31" s="1" customFormat="1" x14ac:dyDescent="0.2">
      <c r="D42" s="20"/>
      <c r="E42" s="20"/>
      <c r="F42" s="20"/>
      <c r="G42" s="20"/>
      <c r="H42" s="20"/>
      <c r="I42" s="7"/>
      <c r="J42" s="7"/>
      <c r="V42" s="13">
        <f>U41*1.1</f>
        <v>0.73205000000000031</v>
      </c>
      <c r="W42" s="13">
        <f>V41*1.1</f>
        <v>1.4641000000000006</v>
      </c>
      <c r="X42" s="13">
        <f t="shared" si="15"/>
        <v>1.4641000000000006</v>
      </c>
      <c r="Y42" s="13">
        <f t="shared" si="15"/>
        <v>1.4641000000000006</v>
      </c>
      <c r="Z42" s="13">
        <f t="shared" si="15"/>
        <v>1.4641000000000006</v>
      </c>
      <c r="AA42" s="13"/>
      <c r="AB42" s="3">
        <f t="shared" si="10"/>
        <v>6.5884500000000035</v>
      </c>
    </row>
    <row r="43" spans="1:31" x14ac:dyDescent="0.2">
      <c r="A43" t="s">
        <v>3</v>
      </c>
      <c r="B43">
        <v>1</v>
      </c>
      <c r="C43">
        <v>2</v>
      </c>
      <c r="D43">
        <v>3</v>
      </c>
      <c r="E43">
        <v>4</v>
      </c>
      <c r="F43">
        <v>5</v>
      </c>
      <c r="G43">
        <v>6</v>
      </c>
      <c r="I43" s="13" t="s">
        <v>14</v>
      </c>
      <c r="W43" s="13">
        <f>V42*1.1</f>
        <v>0.80525500000000039</v>
      </c>
      <c r="X43" s="13">
        <f>W42*1.1</f>
        <v>1.6105100000000008</v>
      </c>
      <c r="Y43" s="13">
        <f t="shared" si="15"/>
        <v>1.6105100000000008</v>
      </c>
      <c r="Z43" s="13">
        <f t="shared" si="15"/>
        <v>1.6105100000000008</v>
      </c>
      <c r="AA43" s="13"/>
      <c r="AB43" s="3">
        <f t="shared" si="10"/>
        <v>5.6367850000000024</v>
      </c>
    </row>
    <row r="44" spans="1:31" x14ac:dyDescent="0.2">
      <c r="A44" t="s">
        <v>26</v>
      </c>
      <c r="B44">
        <v>0.5</v>
      </c>
      <c r="C44">
        <v>1</v>
      </c>
      <c r="D44">
        <v>1</v>
      </c>
      <c r="E44">
        <v>1</v>
      </c>
      <c r="F44">
        <v>1</v>
      </c>
      <c r="G44">
        <v>1</v>
      </c>
      <c r="I44" s="13">
        <f>SUM(B44:G44)</f>
        <v>5.5</v>
      </c>
      <c r="X44" s="13">
        <f>W43*1.1</f>
        <v>0.88578050000000053</v>
      </c>
      <c r="Y44" s="13">
        <f>X43*1.1</f>
        <v>1.7715610000000011</v>
      </c>
      <c r="Z44" s="13">
        <f t="shared" si="15"/>
        <v>1.7715610000000011</v>
      </c>
      <c r="AA44" s="13"/>
      <c r="AB44" s="3">
        <f t="shared" si="10"/>
        <v>4.4289025000000031</v>
      </c>
      <c r="AC44" s="13"/>
    </row>
    <row r="45" spans="1:31" x14ac:dyDescent="0.2">
      <c r="A45" t="s">
        <v>27</v>
      </c>
      <c r="C45">
        <v>0.5</v>
      </c>
      <c r="D45">
        <v>1</v>
      </c>
      <c r="E45">
        <v>1</v>
      </c>
      <c r="F45">
        <v>1</v>
      </c>
      <c r="G45">
        <v>1</v>
      </c>
      <c r="H45">
        <v>1</v>
      </c>
      <c r="Y45" s="13">
        <f>X44*1.1</f>
        <v>0.97435855000000071</v>
      </c>
      <c r="Z45" s="13">
        <f>Y44*1.1</f>
        <v>1.9487171000000014</v>
      </c>
      <c r="AA45" s="13"/>
      <c r="AB45" s="3">
        <f t="shared" si="10"/>
        <v>2.9230756500000021</v>
      </c>
      <c r="AC45" s="13"/>
      <c r="AD45" s="13"/>
    </row>
    <row r="46" spans="1:31" x14ac:dyDescent="0.2">
      <c r="A46" t="s">
        <v>28</v>
      </c>
      <c r="D46">
        <v>0.5</v>
      </c>
      <c r="E46">
        <v>1</v>
      </c>
      <c r="F46">
        <v>1</v>
      </c>
      <c r="G46">
        <v>1</v>
      </c>
      <c r="H46">
        <v>1</v>
      </c>
      <c r="Z46" s="13">
        <f>Y45*1.1</f>
        <v>1.0717944050000008</v>
      </c>
      <c r="AA46" s="13"/>
      <c r="AB46" s="3">
        <f>SUM(N46:Z46)</f>
        <v>1.0717944050000008</v>
      </c>
      <c r="AC46" s="13"/>
      <c r="AD46" s="13"/>
      <c r="AE46" s="13"/>
    </row>
    <row r="47" spans="1:31" x14ac:dyDescent="0.2">
      <c r="A47" t="s">
        <v>29</v>
      </c>
      <c r="E47">
        <v>0.5</v>
      </c>
      <c r="F47">
        <v>1</v>
      </c>
      <c r="G47">
        <v>1</v>
      </c>
      <c r="H47">
        <v>1</v>
      </c>
      <c r="O47" s="2">
        <f>SUM(O34:O46)</f>
        <v>1.5</v>
      </c>
      <c r="P47" s="2">
        <f t="shared" ref="P47" si="16">SUM(P34:P46)</f>
        <v>2.5</v>
      </c>
      <c r="Q47" s="2">
        <f t="shared" ref="Q47" si="17">SUM(Q34:Q46)</f>
        <v>3.5</v>
      </c>
      <c r="R47" s="2">
        <f t="shared" ref="R47" si="18">SUM(R34:R46)</f>
        <v>4.5</v>
      </c>
      <c r="S47" s="2">
        <f t="shared" ref="S47" si="19">SUM(S34:S46)</f>
        <v>5.55</v>
      </c>
      <c r="T47" s="2">
        <f t="shared" ref="T47" si="20">SUM(T34:T46)</f>
        <v>5.7050000000000001</v>
      </c>
      <c r="U47" s="2">
        <f t="shared" ref="U47" si="21">SUM(U34:U46)</f>
        <v>5.9755000000000003</v>
      </c>
      <c r="V47" s="2">
        <f t="shared" ref="V47" si="22">SUM(V34:V46)</f>
        <v>6.373050000000001</v>
      </c>
      <c r="W47" s="2">
        <f t="shared" ref="W47" si="23">SUM(W34:W46)</f>
        <v>6.9103550000000027</v>
      </c>
      <c r="X47" s="2">
        <f t="shared" ref="X47" si="24">SUM(X34:X46)</f>
        <v>7.6013905000000026</v>
      </c>
      <c r="Y47" s="2">
        <f t="shared" ref="Y47" si="25">SUM(Y34:Y46)</f>
        <v>8.3615295500000038</v>
      </c>
      <c r="Z47" s="2">
        <f t="shared" ref="Z47" si="26">SUM(Z34:Z46)</f>
        <v>9.1976825050000048</v>
      </c>
    </row>
    <row r="48" spans="1:31" x14ac:dyDescent="0.2">
      <c r="A48" t="s">
        <v>30</v>
      </c>
      <c r="F48">
        <v>0.5</v>
      </c>
      <c r="G48">
        <v>1</v>
      </c>
      <c r="H48">
        <v>1</v>
      </c>
    </row>
    <row r="49" spans="1:14" x14ac:dyDescent="0.2">
      <c r="A49" t="s">
        <v>31</v>
      </c>
      <c r="G49" s="13">
        <f>F48*1.1</f>
        <v>0.55000000000000004</v>
      </c>
      <c r="H49" s="13">
        <f>G48*1.1</f>
        <v>1.1000000000000001</v>
      </c>
      <c r="M49" t="s">
        <v>33</v>
      </c>
    </row>
    <row r="50" spans="1:14" x14ac:dyDescent="0.2">
      <c r="A50" t="s">
        <v>32</v>
      </c>
      <c r="H50" s="13">
        <f>G49*1.1</f>
        <v>0.60500000000000009</v>
      </c>
    </row>
    <row r="52" spans="1:14" x14ac:dyDescent="0.2">
      <c r="A52" s="1" t="s">
        <v>7</v>
      </c>
      <c r="B52" s="1"/>
      <c r="C52" s="1"/>
      <c r="D52" s="15">
        <f>(D41/D32)-1</f>
        <v>0.32490962756608033</v>
      </c>
      <c r="E52" s="15">
        <f>(E41/E32)-1</f>
        <v>-5.6090969353950193E-4</v>
      </c>
      <c r="F52" s="15">
        <f>(F41/F32)-1</f>
        <v>-8.9611178614823483E-3</v>
      </c>
      <c r="G52" s="15">
        <f>(G41/G32)-1</f>
        <v>2.3900453248279163E-2</v>
      </c>
      <c r="H52" s="15">
        <f>(H41/H32)-1</f>
        <v>-0.20681872749099639</v>
      </c>
    </row>
    <row r="53" spans="1:14" x14ac:dyDescent="0.2">
      <c r="A53" s="35"/>
      <c r="B53" s="35"/>
      <c r="C53" s="35"/>
      <c r="D53" s="35"/>
      <c r="E53" s="35"/>
      <c r="F53" s="35"/>
      <c r="G53" s="35"/>
      <c r="H53" s="35"/>
    </row>
    <row r="54" spans="1:14" x14ac:dyDescent="0.2">
      <c r="A54" t="s">
        <v>3</v>
      </c>
      <c r="B54">
        <v>13</v>
      </c>
      <c r="C54">
        <v>14</v>
      </c>
      <c r="D54">
        <v>15</v>
      </c>
      <c r="E54" s="1">
        <v>16</v>
      </c>
      <c r="F54" s="1">
        <v>17</v>
      </c>
      <c r="G54" s="1">
        <v>18</v>
      </c>
      <c r="H54" s="1">
        <v>19</v>
      </c>
    </row>
    <row r="55" spans="1:14" x14ac:dyDescent="0.2">
      <c r="A55" t="s">
        <v>4</v>
      </c>
      <c r="B55">
        <v>16.5</v>
      </c>
      <c r="C55">
        <v>14.6</v>
      </c>
      <c r="D55" s="2">
        <v>17.7</v>
      </c>
      <c r="E55" s="3">
        <v>20</v>
      </c>
      <c r="F55" s="4">
        <v>19</v>
      </c>
      <c r="G55" s="4">
        <v>17.8</v>
      </c>
      <c r="H55" s="4">
        <v>13.6</v>
      </c>
    </row>
    <row r="56" spans="1:14" x14ac:dyDescent="0.2">
      <c r="A56" s="1" t="s">
        <v>5</v>
      </c>
      <c r="B56" s="1"/>
      <c r="C56" s="1"/>
      <c r="D56" s="30">
        <v>158.69999999999999</v>
      </c>
      <c r="E56" s="30">
        <v>217.9</v>
      </c>
      <c r="F56" s="30">
        <v>246.9</v>
      </c>
      <c r="G56" s="30">
        <v>257.60000000000002</v>
      </c>
      <c r="H56" s="30">
        <v>245</v>
      </c>
    </row>
    <row r="58" spans="1:14" x14ac:dyDescent="0.2">
      <c r="A58">
        <v>13</v>
      </c>
      <c r="B58" s="6">
        <f>$B$55*B68</f>
        <v>74.25</v>
      </c>
      <c r="C58" s="6">
        <f t="shared" ref="C58:G58" si="27">$B$55*C68</f>
        <v>57.75</v>
      </c>
      <c r="D58" s="6">
        <f t="shared" si="27"/>
        <v>33</v>
      </c>
      <c r="E58" s="6">
        <f t="shared" si="27"/>
        <v>33</v>
      </c>
      <c r="F58" s="6">
        <f t="shared" si="27"/>
        <v>24.75</v>
      </c>
      <c r="G58" s="6">
        <f t="shared" si="27"/>
        <v>16.5</v>
      </c>
      <c r="H58" s="6"/>
      <c r="I58" s="2"/>
    </row>
    <row r="59" spans="1:14" x14ac:dyDescent="0.2">
      <c r="A59">
        <v>14</v>
      </c>
      <c r="B59" s="6"/>
      <c r="C59" s="6">
        <f>$C$55*B68</f>
        <v>65.7</v>
      </c>
      <c r="D59" s="6">
        <f t="shared" ref="D59:H59" si="28">$C$55*C68</f>
        <v>51.1</v>
      </c>
      <c r="E59" s="6">
        <f t="shared" si="28"/>
        <v>29.2</v>
      </c>
      <c r="F59" s="6">
        <f t="shared" si="28"/>
        <v>29.2</v>
      </c>
      <c r="G59" s="6">
        <f t="shared" si="28"/>
        <v>21.9</v>
      </c>
      <c r="H59" s="6">
        <f t="shared" si="28"/>
        <v>14.6</v>
      </c>
      <c r="I59" s="2"/>
    </row>
    <row r="60" spans="1:14" x14ac:dyDescent="0.2">
      <c r="A60">
        <v>15</v>
      </c>
      <c r="B60" s="6"/>
      <c r="C60" s="6"/>
      <c r="D60" s="6">
        <f>$D$55*B68</f>
        <v>79.649999999999991</v>
      </c>
      <c r="E60" s="6">
        <f t="shared" ref="E60:H60" si="29">$D$55*C68</f>
        <v>61.949999999999996</v>
      </c>
      <c r="F60" s="6">
        <f t="shared" si="29"/>
        <v>35.4</v>
      </c>
      <c r="G60" s="6">
        <f t="shared" si="29"/>
        <v>35.4</v>
      </c>
      <c r="H60" s="6">
        <f t="shared" si="29"/>
        <v>26.549999999999997</v>
      </c>
      <c r="I60" s="2"/>
    </row>
    <row r="61" spans="1:14" x14ac:dyDescent="0.2">
      <c r="A61">
        <v>16</v>
      </c>
      <c r="B61" s="6"/>
      <c r="C61" s="6"/>
      <c r="D61" s="6"/>
      <c r="E61" s="7">
        <f>$E$55*B68</f>
        <v>90</v>
      </c>
      <c r="F61" s="7">
        <f t="shared" ref="F61:H61" si="30">$E$55*C68</f>
        <v>70</v>
      </c>
      <c r="G61" s="7">
        <f t="shared" si="30"/>
        <v>40</v>
      </c>
      <c r="H61" s="7">
        <f t="shared" si="30"/>
        <v>40</v>
      </c>
      <c r="I61" s="2"/>
    </row>
    <row r="62" spans="1:14" x14ac:dyDescent="0.2">
      <c r="A62">
        <v>17</v>
      </c>
      <c r="B62" s="6"/>
      <c r="C62" s="6"/>
      <c r="D62" s="6"/>
      <c r="E62" s="7"/>
      <c r="F62" s="7">
        <f>$F$55*B68</f>
        <v>85.5</v>
      </c>
      <c r="G62" s="7">
        <f t="shared" ref="G62:H62" si="31">$F$55*C68</f>
        <v>66.5</v>
      </c>
      <c r="H62" s="7">
        <f t="shared" si="31"/>
        <v>38</v>
      </c>
      <c r="I62" s="2"/>
    </row>
    <row r="63" spans="1:14" x14ac:dyDescent="0.2">
      <c r="A63">
        <v>18</v>
      </c>
      <c r="B63" s="6"/>
      <c r="C63" s="6"/>
      <c r="D63" s="6"/>
      <c r="E63" s="7"/>
      <c r="F63" s="7"/>
      <c r="G63" s="7">
        <f>$G$55*B68</f>
        <v>80.100000000000009</v>
      </c>
      <c r="H63" s="7">
        <f>$G$55*C68</f>
        <v>62.300000000000004</v>
      </c>
      <c r="I63" s="2"/>
    </row>
    <row r="64" spans="1:14" x14ac:dyDescent="0.2">
      <c r="A64">
        <v>19</v>
      </c>
      <c r="B64" s="6"/>
      <c r="C64" s="6"/>
      <c r="D64" s="6"/>
      <c r="E64" s="7"/>
      <c r="F64" s="7"/>
      <c r="G64" s="7"/>
      <c r="H64" s="6">
        <f>$H$55*B68</f>
        <v>61.199999999999996</v>
      </c>
      <c r="I64" s="2"/>
      <c r="N64" s="19">
        <f>V70*N65</f>
        <v>281.74981711777616</v>
      </c>
    </row>
    <row r="65" spans="1:23" x14ac:dyDescent="0.2">
      <c r="A65" s="1" t="s">
        <v>1</v>
      </c>
      <c r="B65" s="1"/>
      <c r="C65" s="1"/>
      <c r="D65" s="31">
        <f>SUM(D58:D64)</f>
        <v>163.75</v>
      </c>
      <c r="E65" s="31">
        <f>SUM(E58:E64)</f>
        <v>214.15</v>
      </c>
      <c r="F65" s="31">
        <f>SUM(F58:F64)</f>
        <v>244.85</v>
      </c>
      <c r="G65" s="31">
        <f>SUM(G58:G64)</f>
        <v>260.40000000000003</v>
      </c>
      <c r="H65" s="31">
        <f>SUM(H58:H64)</f>
        <v>242.65</v>
      </c>
      <c r="I65" s="7"/>
      <c r="N65" s="8">
        <f>N67/(N67+O67)</f>
        <v>0.69056327724945132</v>
      </c>
    </row>
    <row r="66" spans="1:23" x14ac:dyDescent="0.2">
      <c r="N66" t="s">
        <v>34</v>
      </c>
      <c r="O66" t="s">
        <v>45</v>
      </c>
      <c r="P66" t="s">
        <v>46</v>
      </c>
      <c r="Q66" t="s">
        <v>37</v>
      </c>
      <c r="R66" t="s">
        <v>47</v>
      </c>
    </row>
    <row r="67" spans="1:23" x14ac:dyDescent="0.2">
      <c r="A67" t="s">
        <v>3</v>
      </c>
      <c r="B67">
        <v>1</v>
      </c>
      <c r="C67">
        <v>2</v>
      </c>
      <c r="D67">
        <v>3</v>
      </c>
      <c r="E67">
        <v>4</v>
      </c>
      <c r="F67">
        <v>5</v>
      </c>
      <c r="G67">
        <v>6</v>
      </c>
      <c r="H67" s="13" t="s">
        <v>14</v>
      </c>
      <c r="M67" t="s">
        <v>35</v>
      </c>
      <c r="N67">
        <v>944</v>
      </c>
      <c r="O67">
        <v>423</v>
      </c>
      <c r="P67">
        <v>540</v>
      </c>
      <c r="Q67">
        <v>65</v>
      </c>
      <c r="R67">
        <v>-18</v>
      </c>
      <c r="S67">
        <f>SUM(N67:R67)</f>
        <v>1954</v>
      </c>
      <c r="U67" t="s">
        <v>41</v>
      </c>
      <c r="V67">
        <v>1767</v>
      </c>
    </row>
    <row r="68" spans="1:23" x14ac:dyDescent="0.2">
      <c r="A68" t="s">
        <v>15</v>
      </c>
      <c r="B68">
        <f t="shared" ref="B68:G68" si="32">B18+B44</f>
        <v>4.5</v>
      </c>
      <c r="C68">
        <f t="shared" si="32"/>
        <v>3.5</v>
      </c>
      <c r="D68">
        <f t="shared" si="32"/>
        <v>2</v>
      </c>
      <c r="E68">
        <f t="shared" si="32"/>
        <v>2</v>
      </c>
      <c r="F68">
        <f t="shared" si="32"/>
        <v>1.5</v>
      </c>
      <c r="G68">
        <f t="shared" si="32"/>
        <v>1</v>
      </c>
      <c r="H68" s="13">
        <f>SUM(B68:G68)</f>
        <v>14.5</v>
      </c>
      <c r="U68" t="s">
        <v>42</v>
      </c>
      <c r="V68">
        <v>1200</v>
      </c>
    </row>
    <row r="69" spans="1:23" x14ac:dyDescent="0.2">
      <c r="M69" t="s">
        <v>8</v>
      </c>
      <c r="N69">
        <v>826</v>
      </c>
      <c r="O69">
        <v>405</v>
      </c>
      <c r="P69">
        <v>540</v>
      </c>
    </row>
    <row r="70" spans="1:23" x14ac:dyDescent="0.2">
      <c r="A70" s="1" t="s">
        <v>7</v>
      </c>
      <c r="B70" s="1"/>
      <c r="C70" s="1"/>
      <c r="D70" s="15">
        <f>(D65/D56)-1</f>
        <v>3.1821045998739805E-2</v>
      </c>
      <c r="E70" s="15">
        <f>(E65/E56)-1</f>
        <v>-1.7209729233593429E-2</v>
      </c>
      <c r="F70" s="15">
        <f>(F65/F56)-1</f>
        <v>-8.3029566626164897E-3</v>
      </c>
      <c r="G70" s="15">
        <f>(G65/G56)-1</f>
        <v>1.0869565217391353E-2</v>
      </c>
      <c r="H70" s="15">
        <f>(H65/H56)-1</f>
        <v>-9.5918367346938815E-3</v>
      </c>
      <c r="M70" t="s">
        <v>36</v>
      </c>
      <c r="N70">
        <v>110</v>
      </c>
      <c r="O70">
        <v>7</v>
      </c>
      <c r="U70" t="s">
        <v>43</v>
      </c>
      <c r="V70">
        <v>408</v>
      </c>
      <c r="W70" s="8">
        <f>V70/(V70+V71)</f>
        <v>0.20880245649948823</v>
      </c>
    </row>
    <row r="71" spans="1:23" x14ac:dyDescent="0.2">
      <c r="A71" s="35"/>
      <c r="B71" s="35"/>
      <c r="C71" s="35"/>
      <c r="D71" s="35"/>
      <c r="E71" s="35"/>
      <c r="F71" s="35"/>
      <c r="G71" s="35"/>
      <c r="H71" s="35"/>
      <c r="M71" t="s">
        <v>37</v>
      </c>
      <c r="N71">
        <v>8</v>
      </c>
      <c r="O71">
        <v>11</v>
      </c>
      <c r="Q71">
        <v>65</v>
      </c>
      <c r="U71" t="s">
        <v>8</v>
      </c>
      <c r="V71">
        <v>1546</v>
      </c>
    </row>
    <row r="72" spans="1:23" x14ac:dyDescent="0.2">
      <c r="U72" t="s">
        <v>44</v>
      </c>
    </row>
    <row r="74" spans="1:23" x14ac:dyDescent="0.2">
      <c r="M74" t="s">
        <v>38</v>
      </c>
      <c r="N74">
        <v>664</v>
      </c>
      <c r="O74">
        <v>31</v>
      </c>
    </row>
    <row r="75" spans="1:23" x14ac:dyDescent="0.2">
      <c r="M75" t="s">
        <v>39</v>
      </c>
      <c r="N75">
        <v>152</v>
      </c>
      <c r="O75">
        <v>357</v>
      </c>
      <c r="P75">
        <v>23</v>
      </c>
    </row>
    <row r="76" spans="1:23" x14ac:dyDescent="0.2">
      <c r="M76" t="s">
        <v>40</v>
      </c>
      <c r="N76">
        <v>120</v>
      </c>
      <c r="O76">
        <v>24</v>
      </c>
      <c r="P76">
        <v>517</v>
      </c>
      <c r="R76">
        <v>-18</v>
      </c>
    </row>
    <row r="77" spans="1:23" x14ac:dyDescent="0.2">
      <c r="M77" t="s">
        <v>37</v>
      </c>
      <c r="N77">
        <v>8</v>
      </c>
      <c r="O77">
        <v>11</v>
      </c>
      <c r="Q77">
        <v>65</v>
      </c>
    </row>
    <row r="78" spans="1:23" x14ac:dyDescent="0.2">
      <c r="N78">
        <f>SUM(N74:N77)</f>
        <v>944</v>
      </c>
      <c r="O78">
        <f t="shared" ref="O78:Q78" si="33">SUM(O74:O77)</f>
        <v>423</v>
      </c>
      <c r="P78">
        <f t="shared" si="33"/>
        <v>540</v>
      </c>
      <c r="Q78">
        <f t="shared" si="33"/>
        <v>65</v>
      </c>
      <c r="R78">
        <f>SUM(R74:R77)</f>
        <v>-18</v>
      </c>
      <c r="S78">
        <f>SUM(N78:R78)</f>
        <v>1954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I12" sqref="I1:S1048576"/>
    </sheetView>
  </sheetViews>
  <sheetFormatPr baseColWidth="10" defaultRowHeight="16" x14ac:dyDescent="0.2"/>
  <cols>
    <col min="1" max="1" width="18.1640625" bestFit="1" customWidth="1"/>
  </cols>
  <sheetData>
    <row r="1" spans="1:8" x14ac:dyDescent="0.2">
      <c r="A1" t="s">
        <v>13</v>
      </c>
    </row>
    <row r="2" spans="1:8" x14ac:dyDescent="0.2">
      <c r="A2" t="s">
        <v>3</v>
      </c>
      <c r="B2">
        <v>17</v>
      </c>
      <c r="C2">
        <v>18</v>
      </c>
      <c r="D2">
        <v>19</v>
      </c>
      <c r="E2">
        <v>20</v>
      </c>
    </row>
    <row r="3" spans="1:8" x14ac:dyDescent="0.2">
      <c r="A3" t="s">
        <v>4</v>
      </c>
      <c r="B3">
        <v>2.74</v>
      </c>
      <c r="C3">
        <v>15.05</v>
      </c>
      <c r="D3">
        <v>16.95</v>
      </c>
      <c r="E3">
        <v>21.03</v>
      </c>
    </row>
    <row r="4" spans="1:8" x14ac:dyDescent="0.2">
      <c r="A4" t="s">
        <v>5</v>
      </c>
      <c r="B4">
        <v>5.46</v>
      </c>
      <c r="C4">
        <v>63.51</v>
      </c>
      <c r="D4">
        <v>118.55</v>
      </c>
      <c r="E4">
        <v>168.72</v>
      </c>
    </row>
    <row r="5" spans="1:8" x14ac:dyDescent="0.2">
      <c r="A5" t="s">
        <v>11</v>
      </c>
      <c r="B5" s="22">
        <v>0.85</v>
      </c>
      <c r="C5" s="22">
        <v>0.83</v>
      </c>
      <c r="D5" s="22">
        <v>0.75</v>
      </c>
      <c r="E5" s="26">
        <v>0.68</v>
      </c>
    </row>
    <row r="6" spans="1:8" x14ac:dyDescent="0.2">
      <c r="A6" s="1" t="s">
        <v>0</v>
      </c>
      <c r="B6" s="24">
        <f>B4*B5</f>
        <v>4.641</v>
      </c>
      <c r="C6" s="24">
        <f>C4*C5</f>
        <v>52.713299999999997</v>
      </c>
      <c r="D6" s="24">
        <f>D4*D5</f>
        <v>88.912499999999994</v>
      </c>
      <c r="E6" s="24">
        <f>E4*E5</f>
        <v>114.7296</v>
      </c>
    </row>
    <row r="7" spans="1:8" x14ac:dyDescent="0.2">
      <c r="A7" s="1"/>
      <c r="B7" s="1"/>
      <c r="C7" s="1"/>
      <c r="D7" s="1"/>
      <c r="E7" s="1"/>
    </row>
    <row r="8" spans="1:8" x14ac:dyDescent="0.2">
      <c r="A8" s="1">
        <v>17</v>
      </c>
      <c r="B8" s="3">
        <f>$B$3*B16</f>
        <v>9.0419999999999998</v>
      </c>
      <c r="C8" s="3">
        <f t="shared" ref="C8:E8" si="0">$B$3*C16</f>
        <v>5.48</v>
      </c>
      <c r="D8" s="3">
        <f t="shared" si="0"/>
        <v>2.74</v>
      </c>
      <c r="E8" s="3">
        <f t="shared" si="0"/>
        <v>1.37</v>
      </c>
    </row>
    <row r="9" spans="1:8" x14ac:dyDescent="0.2">
      <c r="A9" s="1">
        <v>18</v>
      </c>
      <c r="B9" s="1"/>
      <c r="C9" s="3">
        <f>$C$3*B16</f>
        <v>49.664999999999999</v>
      </c>
      <c r="D9" s="3">
        <f t="shared" ref="D9:E9" si="1">$C$3*C16</f>
        <v>30.1</v>
      </c>
      <c r="E9" s="3">
        <f t="shared" si="1"/>
        <v>15.05</v>
      </c>
    </row>
    <row r="10" spans="1:8" x14ac:dyDescent="0.2">
      <c r="A10" s="1">
        <v>19</v>
      </c>
      <c r="B10" s="1"/>
      <c r="C10" s="1"/>
      <c r="D10" s="3">
        <f>$D$3*B16</f>
        <v>55.934999999999995</v>
      </c>
      <c r="E10" s="3">
        <f>$D$3*C16</f>
        <v>33.9</v>
      </c>
    </row>
    <row r="11" spans="1:8" x14ac:dyDescent="0.2">
      <c r="A11" s="1">
        <v>20</v>
      </c>
      <c r="B11" s="1"/>
      <c r="C11" s="1"/>
      <c r="D11" s="3"/>
      <c r="E11" s="3">
        <f>$E$3*B16</f>
        <v>69.399000000000001</v>
      </c>
    </row>
    <row r="12" spans="1:8" x14ac:dyDescent="0.2">
      <c r="A12" s="1"/>
      <c r="B12" s="1"/>
      <c r="C12" s="1"/>
      <c r="D12" s="1"/>
      <c r="E12" s="1"/>
    </row>
    <row r="13" spans="1:8" x14ac:dyDescent="0.2">
      <c r="A13" s="1" t="s">
        <v>1</v>
      </c>
      <c r="B13" s="25">
        <f>SUM(B8:B11)</f>
        <v>9.0419999999999998</v>
      </c>
      <c r="C13" s="25">
        <f>SUM(C8:C11)</f>
        <v>55.144999999999996</v>
      </c>
      <c r="D13" s="25">
        <f>SUM(D8:D11)</f>
        <v>88.775000000000006</v>
      </c>
      <c r="E13" s="25">
        <f>SUM(E8:E11)</f>
        <v>119.71899999999999</v>
      </c>
    </row>
    <row r="14" spans="1:8" x14ac:dyDescent="0.2">
      <c r="A14" s="1"/>
      <c r="B14" s="1"/>
      <c r="C14" s="1"/>
      <c r="D14" s="1"/>
      <c r="E14" s="1"/>
    </row>
    <row r="15" spans="1:8" x14ac:dyDescent="0.2">
      <c r="A15" s="1" t="s">
        <v>3</v>
      </c>
      <c r="B15" s="1">
        <v>1</v>
      </c>
      <c r="C15" s="1">
        <v>2</v>
      </c>
      <c r="D15" s="1">
        <v>3</v>
      </c>
      <c r="E15" s="1">
        <v>4</v>
      </c>
      <c r="F15" s="32" t="s">
        <v>16</v>
      </c>
      <c r="G15" s="32" t="s">
        <v>17</v>
      </c>
      <c r="H15" t="s">
        <v>18</v>
      </c>
    </row>
    <row r="16" spans="1:8" x14ac:dyDescent="0.2">
      <c r="A16" s="1" t="s">
        <v>6</v>
      </c>
      <c r="B16" s="1">
        <v>3.3</v>
      </c>
      <c r="C16" s="1">
        <v>2</v>
      </c>
      <c r="D16" s="1">
        <v>1</v>
      </c>
      <c r="E16" s="1">
        <v>0.5</v>
      </c>
      <c r="F16" s="1">
        <v>0.5</v>
      </c>
      <c r="G16" s="1">
        <v>0</v>
      </c>
      <c r="H16">
        <f>SUM(B16:G16)</f>
        <v>7.3</v>
      </c>
    </row>
    <row r="17" spans="1:8" x14ac:dyDescent="0.2">
      <c r="A17" s="1"/>
      <c r="B17" s="1"/>
      <c r="C17" s="1"/>
      <c r="D17" s="1"/>
      <c r="E17" s="1"/>
    </row>
    <row r="18" spans="1:8" x14ac:dyDescent="0.2">
      <c r="A18" s="1" t="s">
        <v>7</v>
      </c>
      <c r="B18" s="1"/>
      <c r="C18" s="15">
        <f>(C13/C6)-1</f>
        <v>4.6130672904181713E-2</v>
      </c>
      <c r="D18" s="15">
        <f>(D13/D6)-1</f>
        <v>-1.546464220441357E-3</v>
      </c>
      <c r="E18" s="15">
        <f>(E13/E6)-1</f>
        <v>4.3488341282458931E-2</v>
      </c>
      <c r="F18" s="15"/>
      <c r="G18" s="15"/>
      <c r="H18" s="15"/>
    </row>
    <row r="19" spans="1:8" x14ac:dyDescent="0.2">
      <c r="A19" s="35"/>
      <c r="B19" s="35"/>
      <c r="C19" s="35"/>
      <c r="D19" s="35"/>
      <c r="E19" s="35"/>
      <c r="F19" s="35"/>
      <c r="G19" s="35"/>
      <c r="H19" s="35"/>
    </row>
    <row r="20" spans="1:8" x14ac:dyDescent="0.2">
      <c r="A20" s="1" t="s">
        <v>3</v>
      </c>
      <c r="B20" s="1">
        <v>17</v>
      </c>
      <c r="C20" s="1">
        <v>18</v>
      </c>
      <c r="D20" s="1">
        <v>19</v>
      </c>
      <c r="E20" s="1">
        <v>20</v>
      </c>
    </row>
    <row r="21" spans="1:8" x14ac:dyDescent="0.2">
      <c r="A21" s="1" t="s">
        <v>4</v>
      </c>
      <c r="B21" s="1">
        <v>2.74</v>
      </c>
      <c r="C21" s="1">
        <v>15.05</v>
      </c>
      <c r="D21" s="1">
        <v>16.95</v>
      </c>
      <c r="E21" s="1">
        <v>21.03</v>
      </c>
    </row>
    <row r="22" spans="1:8" x14ac:dyDescent="0.2">
      <c r="A22" s="1" t="s">
        <v>5</v>
      </c>
      <c r="B22" s="1">
        <v>5.46</v>
      </c>
      <c r="C22" s="1">
        <v>63.51</v>
      </c>
      <c r="D22" s="1">
        <v>118.55</v>
      </c>
      <c r="E22" s="1">
        <v>168.72</v>
      </c>
    </row>
    <row r="23" spans="1:8" x14ac:dyDescent="0.2">
      <c r="A23" s="1" t="s">
        <v>12</v>
      </c>
      <c r="B23" s="23">
        <f>1-B5</f>
        <v>0.15000000000000002</v>
      </c>
      <c r="C23" s="23">
        <f t="shared" ref="C23:E23" si="2">1-C5</f>
        <v>0.17000000000000004</v>
      </c>
      <c r="D23" s="23">
        <f t="shared" si="2"/>
        <v>0.25</v>
      </c>
      <c r="E23" s="27">
        <f t="shared" si="2"/>
        <v>0.31999999999999995</v>
      </c>
    </row>
    <row r="24" spans="1:8" x14ac:dyDescent="0.2">
      <c r="A24" s="1" t="s">
        <v>9</v>
      </c>
      <c r="B24" s="28">
        <f>B22*B23</f>
        <v>0.81900000000000006</v>
      </c>
      <c r="C24" s="28">
        <f>C22*C23</f>
        <v>10.796700000000003</v>
      </c>
      <c r="D24" s="28">
        <f>D22*D23</f>
        <v>29.637499999999999</v>
      </c>
      <c r="E24" s="28">
        <f>E22*E23</f>
        <v>53.990399999999994</v>
      </c>
    </row>
    <row r="25" spans="1:8" x14ac:dyDescent="0.2">
      <c r="A25" s="1"/>
      <c r="B25" s="1"/>
      <c r="C25" s="1"/>
      <c r="D25" s="1"/>
      <c r="E25" s="1"/>
    </row>
    <row r="26" spans="1:8" x14ac:dyDescent="0.2">
      <c r="A26" s="1">
        <v>17</v>
      </c>
      <c r="B26" s="3">
        <f>$B$21*B34</f>
        <v>1.37</v>
      </c>
      <c r="C26" s="3">
        <f t="shared" ref="C26:E26" si="3">$B$21*C34</f>
        <v>2.74</v>
      </c>
      <c r="D26" s="3">
        <f t="shared" si="3"/>
        <v>4.1100000000000003</v>
      </c>
      <c r="E26" s="3">
        <f t="shared" si="3"/>
        <v>4.1100000000000003</v>
      </c>
    </row>
    <row r="27" spans="1:8" x14ac:dyDescent="0.2">
      <c r="A27" s="1">
        <v>18</v>
      </c>
      <c r="B27" s="1"/>
      <c r="C27" s="3">
        <f>$C$21*B34</f>
        <v>7.5250000000000004</v>
      </c>
      <c r="D27" s="3">
        <f t="shared" ref="D27:E27" si="4">$C$21*C34</f>
        <v>15.05</v>
      </c>
      <c r="E27" s="3">
        <f t="shared" si="4"/>
        <v>22.575000000000003</v>
      </c>
    </row>
    <row r="28" spans="1:8" x14ac:dyDescent="0.2">
      <c r="A28" s="1">
        <v>19</v>
      </c>
      <c r="B28" s="1"/>
      <c r="C28" s="1"/>
      <c r="D28" s="3">
        <f>$D$21*B34</f>
        <v>8.4749999999999996</v>
      </c>
      <c r="E28" s="3">
        <f>$D$21*C34</f>
        <v>16.95</v>
      </c>
    </row>
    <row r="29" spans="1:8" x14ac:dyDescent="0.2">
      <c r="A29" s="1">
        <v>20</v>
      </c>
      <c r="B29" s="1"/>
      <c r="C29" s="1"/>
      <c r="D29" s="3"/>
      <c r="E29" s="3">
        <f>$E$21*B34</f>
        <v>10.515000000000001</v>
      </c>
    </row>
    <row r="30" spans="1:8" x14ac:dyDescent="0.2">
      <c r="A30" s="1"/>
      <c r="B30" s="1"/>
      <c r="C30" s="1"/>
      <c r="D30" s="1"/>
      <c r="E30" s="1"/>
    </row>
    <row r="31" spans="1:8" x14ac:dyDescent="0.2">
      <c r="A31" s="1" t="s">
        <v>1</v>
      </c>
      <c r="B31" s="29">
        <f>SUM(B26:B29)</f>
        <v>1.37</v>
      </c>
      <c r="C31" s="29">
        <f>SUM(C26:C29)</f>
        <v>10.265000000000001</v>
      </c>
      <c r="D31" s="29">
        <f>SUM(D26:D29)</f>
        <v>27.634999999999998</v>
      </c>
      <c r="E31" s="29">
        <f>SUM(E26:E29)</f>
        <v>54.150000000000006</v>
      </c>
    </row>
    <row r="33" spans="1:8" x14ac:dyDescent="0.2">
      <c r="A33" s="1" t="s">
        <v>3</v>
      </c>
      <c r="B33" s="1">
        <v>1</v>
      </c>
      <c r="C33" s="1">
        <v>2</v>
      </c>
      <c r="D33" s="1">
        <v>3</v>
      </c>
      <c r="E33" s="1">
        <v>4</v>
      </c>
      <c r="F33" s="32" t="s">
        <v>16</v>
      </c>
      <c r="G33" s="32" t="s">
        <v>17</v>
      </c>
      <c r="H33" t="s">
        <v>18</v>
      </c>
    </row>
    <row r="34" spans="1:8" x14ac:dyDescent="0.2">
      <c r="A34" s="1" t="s">
        <v>10</v>
      </c>
      <c r="B34" s="1">
        <v>0.5</v>
      </c>
      <c r="C34" s="1">
        <v>1</v>
      </c>
      <c r="D34" s="1">
        <v>1.5</v>
      </c>
      <c r="E34" s="1">
        <v>1.5</v>
      </c>
      <c r="F34" s="1">
        <v>1</v>
      </c>
      <c r="G34" s="1">
        <v>1</v>
      </c>
      <c r="H34">
        <f>SUM(B34:G34)</f>
        <v>6.5</v>
      </c>
    </row>
    <row r="35" spans="1:8" x14ac:dyDescent="0.2">
      <c r="A35" s="1"/>
      <c r="B35" s="1"/>
      <c r="C35" s="1"/>
      <c r="D35" s="1"/>
      <c r="E35" s="1"/>
    </row>
    <row r="36" spans="1:8" x14ac:dyDescent="0.2">
      <c r="A36" s="1" t="s">
        <v>7</v>
      </c>
      <c r="B36" s="15"/>
      <c r="C36" s="15">
        <f>(C31/C24)-1</f>
        <v>-4.9246529032019315E-2</v>
      </c>
      <c r="D36" s="15">
        <f>(D31/D24)-1</f>
        <v>-6.7566427667650863E-2</v>
      </c>
      <c r="E36" s="15">
        <f>(E31/E24)-1</f>
        <v>2.9560810810813631E-3</v>
      </c>
    </row>
    <row r="37" spans="1:8" x14ac:dyDescent="0.2">
      <c r="A37" s="35"/>
      <c r="B37" s="35"/>
      <c r="C37" s="35"/>
      <c r="D37" s="35"/>
      <c r="E37" s="35"/>
      <c r="F37" s="35"/>
      <c r="G37" s="35"/>
      <c r="H37" s="35"/>
    </row>
    <row r="38" spans="1:8" x14ac:dyDescent="0.2">
      <c r="A38" s="1" t="s">
        <v>3</v>
      </c>
      <c r="B38" s="1">
        <v>17</v>
      </c>
      <c r="C38" s="1">
        <v>18</v>
      </c>
      <c r="D38" s="1">
        <v>19</v>
      </c>
      <c r="E38" s="1">
        <v>20</v>
      </c>
    </row>
    <row r="39" spans="1:8" x14ac:dyDescent="0.2">
      <c r="A39" s="1" t="s">
        <v>4</v>
      </c>
      <c r="B39" s="1">
        <v>2.74</v>
      </c>
      <c r="C39" s="1">
        <v>15.05</v>
      </c>
      <c r="D39" s="1">
        <v>16.95</v>
      </c>
      <c r="E39" s="1">
        <v>21.03</v>
      </c>
    </row>
    <row r="40" spans="1:8" x14ac:dyDescent="0.2">
      <c r="A40" s="1" t="s">
        <v>5</v>
      </c>
      <c r="B40" s="33">
        <v>5.46</v>
      </c>
      <c r="C40" s="33">
        <v>63.51</v>
      </c>
      <c r="D40" s="33">
        <v>118.55</v>
      </c>
      <c r="E40" s="33">
        <v>168.72</v>
      </c>
    </row>
    <row r="42" spans="1:8" x14ac:dyDescent="0.2">
      <c r="A42" s="1">
        <v>17</v>
      </c>
      <c r="B42" s="3">
        <f>$B$39*B50</f>
        <v>10.412000000000001</v>
      </c>
      <c r="C42" s="3">
        <f t="shared" ref="C42:E42" si="5">$B$39*C50</f>
        <v>8.2200000000000006</v>
      </c>
      <c r="D42" s="3">
        <f t="shared" si="5"/>
        <v>6.8500000000000005</v>
      </c>
      <c r="E42" s="3">
        <f t="shared" si="5"/>
        <v>5.48</v>
      </c>
    </row>
    <row r="43" spans="1:8" x14ac:dyDescent="0.2">
      <c r="A43" s="1">
        <v>18</v>
      </c>
      <c r="B43" s="1"/>
      <c r="C43" s="3">
        <f>$C$39*B50</f>
        <v>57.19</v>
      </c>
      <c r="D43" s="3">
        <f t="shared" ref="D43:E43" si="6">$C$39*C50</f>
        <v>45.150000000000006</v>
      </c>
      <c r="E43" s="3">
        <f t="shared" si="6"/>
        <v>37.625</v>
      </c>
    </row>
    <row r="44" spans="1:8" x14ac:dyDescent="0.2">
      <c r="A44" s="1">
        <v>19</v>
      </c>
      <c r="B44" s="1"/>
      <c r="C44" s="1"/>
      <c r="D44" s="3">
        <f>$D$39*B50</f>
        <v>64.41</v>
      </c>
      <c r="E44" s="3">
        <f>$D$39*C50</f>
        <v>50.849999999999994</v>
      </c>
    </row>
    <row r="45" spans="1:8" x14ac:dyDescent="0.2">
      <c r="A45" s="1">
        <v>20</v>
      </c>
      <c r="B45" s="1"/>
      <c r="C45" s="1"/>
      <c r="D45" s="3"/>
      <c r="E45" s="3">
        <f>$E$39*B50</f>
        <v>79.914000000000001</v>
      </c>
    </row>
    <row r="46" spans="1:8" x14ac:dyDescent="0.2">
      <c r="A46" s="1"/>
      <c r="B46" s="1"/>
      <c r="C46" s="1"/>
      <c r="D46" s="1"/>
      <c r="E46" s="1"/>
    </row>
    <row r="47" spans="1:8" x14ac:dyDescent="0.2">
      <c r="A47" s="1" t="s">
        <v>1</v>
      </c>
      <c r="B47" s="34">
        <f>SUM(B42:B45)</f>
        <v>10.412000000000001</v>
      </c>
      <c r="C47" s="34">
        <f>SUM(C42:C45)</f>
        <v>65.41</v>
      </c>
      <c r="D47" s="34">
        <f>SUM(D42:D45)</f>
        <v>116.41</v>
      </c>
      <c r="E47" s="34">
        <f>SUM(E42:E45)</f>
        <v>173.869</v>
      </c>
    </row>
    <row r="49" spans="1:8" x14ac:dyDescent="0.2">
      <c r="A49" s="1" t="s">
        <v>3</v>
      </c>
      <c r="B49" s="1">
        <v>1</v>
      </c>
      <c r="C49" s="1">
        <v>2</v>
      </c>
      <c r="D49" s="1">
        <v>3</v>
      </c>
      <c r="E49" s="1">
        <v>4</v>
      </c>
      <c r="F49" s="32" t="s">
        <v>16</v>
      </c>
      <c r="G49" s="32" t="s">
        <v>17</v>
      </c>
      <c r="H49" t="s">
        <v>18</v>
      </c>
    </row>
    <row r="50" spans="1:8" x14ac:dyDescent="0.2">
      <c r="A50" s="1" t="s">
        <v>15</v>
      </c>
      <c r="B50" s="1">
        <f t="shared" ref="B50:G50" si="7">B16+B34</f>
        <v>3.8</v>
      </c>
      <c r="C50" s="1">
        <f t="shared" si="7"/>
        <v>3</v>
      </c>
      <c r="D50" s="1">
        <f t="shared" si="7"/>
        <v>2.5</v>
      </c>
      <c r="E50" s="1">
        <f t="shared" si="7"/>
        <v>2</v>
      </c>
      <c r="F50" s="1">
        <f t="shared" si="7"/>
        <v>1.5</v>
      </c>
      <c r="G50" s="1">
        <f t="shared" si="7"/>
        <v>1</v>
      </c>
      <c r="H50">
        <f>SUM(B50:G50)</f>
        <v>13.8</v>
      </c>
    </row>
    <row r="52" spans="1:8" x14ac:dyDescent="0.2">
      <c r="A52" s="1" t="s">
        <v>7</v>
      </c>
      <c r="B52" s="15"/>
      <c r="C52" s="15">
        <f>(C47/C40)-1</f>
        <v>2.9916548575027457E-2</v>
      </c>
      <c r="D52" s="15">
        <f>(D47/D40)-1</f>
        <v>-1.8051455082243817E-2</v>
      </c>
      <c r="E52" s="15">
        <f>(E47/E40)-1</f>
        <v>3.0518018018018012E-2</v>
      </c>
    </row>
    <row r="53" spans="1:8" x14ac:dyDescent="0.2">
      <c r="A53" s="35"/>
      <c r="B53" s="35"/>
      <c r="C53" s="35"/>
      <c r="D53" s="35"/>
      <c r="E53" s="35"/>
      <c r="F53" s="35"/>
      <c r="G53" s="35"/>
      <c r="H53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T29" workbookViewId="0">
      <selection activeCell="W48" sqref="W48"/>
    </sheetView>
  </sheetViews>
  <sheetFormatPr baseColWidth="10" defaultRowHeight="16" x14ac:dyDescent="0.2"/>
  <cols>
    <col min="2" max="2" width="16" bestFit="1" customWidth="1"/>
    <col min="3" max="3" width="14.5" bestFit="1" customWidth="1"/>
    <col min="4" max="4" width="9.33203125" bestFit="1" customWidth="1"/>
    <col min="5" max="5" width="12.33203125" bestFit="1" customWidth="1"/>
    <col min="6" max="6" width="18.1640625" bestFit="1" customWidth="1"/>
    <col min="7" max="7" width="16" bestFit="1" customWidth="1"/>
    <col min="8" max="8" width="13.6640625" bestFit="1" customWidth="1"/>
    <col min="9" max="10" width="9.33203125" bestFit="1" customWidth="1"/>
    <col min="11" max="11" width="11.83203125" bestFit="1" customWidth="1"/>
    <col min="12" max="12" width="11.33203125" bestFit="1" customWidth="1"/>
    <col min="14" max="14" width="10.33203125" bestFit="1" customWidth="1"/>
    <col min="15" max="15" width="8.5" bestFit="1" customWidth="1"/>
    <col min="16" max="17" width="5.6640625" bestFit="1" customWidth="1"/>
    <col min="18" max="18" width="5.1640625" bestFit="1" customWidth="1"/>
    <col min="19" max="19" width="6.1640625" bestFit="1" customWidth="1"/>
    <col min="21" max="21" width="6.6640625" bestFit="1" customWidth="1"/>
    <col min="22" max="22" width="16.5" bestFit="1" customWidth="1"/>
    <col min="23" max="31" width="15" bestFit="1" customWidth="1"/>
    <col min="32" max="32" width="15.83203125" customWidth="1"/>
    <col min="33" max="33" width="15" bestFit="1" customWidth="1"/>
  </cols>
  <sheetData>
    <row r="1" spans="1:21" x14ac:dyDescent="0.2">
      <c r="B1" s="37" t="s">
        <v>49</v>
      </c>
      <c r="C1" s="37" t="s">
        <v>50</v>
      </c>
      <c r="D1" s="37" t="s">
        <v>51</v>
      </c>
      <c r="E1" s="37" t="s">
        <v>52</v>
      </c>
      <c r="F1" s="37" t="s">
        <v>53</v>
      </c>
      <c r="G1" s="37" t="s">
        <v>54</v>
      </c>
      <c r="H1" s="37" t="s">
        <v>55</v>
      </c>
      <c r="I1" s="37" t="s">
        <v>56</v>
      </c>
      <c r="J1" s="37" t="s">
        <v>57</v>
      </c>
      <c r="K1" s="37" t="s">
        <v>58</v>
      </c>
      <c r="L1" s="37" t="s">
        <v>59</v>
      </c>
    </row>
    <row r="2" spans="1:21" x14ac:dyDescent="0.2">
      <c r="B2" s="37">
        <v>0</v>
      </c>
      <c r="C2" s="37">
        <v>0</v>
      </c>
      <c r="D2" s="37">
        <v>0</v>
      </c>
      <c r="E2" s="37">
        <v>0</v>
      </c>
      <c r="F2" s="37">
        <v>0</v>
      </c>
      <c r="G2" s="37">
        <v>0</v>
      </c>
      <c r="H2" s="37">
        <v>0</v>
      </c>
      <c r="I2" s="37">
        <v>0</v>
      </c>
      <c r="J2" s="38">
        <v>0.47</v>
      </c>
      <c r="K2" s="37">
        <v>0</v>
      </c>
      <c r="L2" s="38">
        <v>2.86</v>
      </c>
      <c r="N2">
        <f>SUM(B2:L2)</f>
        <v>3.33</v>
      </c>
    </row>
    <row r="3" spans="1:21" x14ac:dyDescent="0.2">
      <c r="B3" s="37">
        <v>0</v>
      </c>
      <c r="C3" s="37">
        <v>0</v>
      </c>
      <c r="D3" s="37">
        <v>0</v>
      </c>
      <c r="E3" s="37">
        <v>0</v>
      </c>
      <c r="F3" s="37">
        <v>0</v>
      </c>
      <c r="G3" s="37">
        <v>0</v>
      </c>
      <c r="H3" s="37">
        <v>0</v>
      </c>
      <c r="I3" s="38">
        <v>1.18</v>
      </c>
      <c r="J3" s="38">
        <v>9.61</v>
      </c>
      <c r="K3" s="37">
        <v>0</v>
      </c>
      <c r="L3" s="38">
        <v>10.99</v>
      </c>
      <c r="N3">
        <f>SUM(B3:L3)</f>
        <v>21.78</v>
      </c>
    </row>
    <row r="4" spans="1:21" x14ac:dyDescent="0.2">
      <c r="B4" s="37">
        <v>0</v>
      </c>
      <c r="C4" s="37">
        <v>0</v>
      </c>
      <c r="D4" s="37">
        <v>0</v>
      </c>
      <c r="E4" s="37">
        <v>0</v>
      </c>
      <c r="F4" s="37">
        <v>0</v>
      </c>
      <c r="G4" s="38">
        <v>1.25</v>
      </c>
      <c r="H4" s="37">
        <v>0</v>
      </c>
      <c r="I4" s="38">
        <v>6.81</v>
      </c>
      <c r="J4" s="38">
        <v>9.49</v>
      </c>
      <c r="K4" s="38">
        <v>2.96</v>
      </c>
      <c r="L4" s="38">
        <v>20.76</v>
      </c>
      <c r="N4">
        <f>SUM(B4:L4)</f>
        <v>41.269999999999996</v>
      </c>
    </row>
    <row r="5" spans="1:21" x14ac:dyDescent="0.2"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8">
        <v>7.92</v>
      </c>
      <c r="H5" s="37">
        <v>0</v>
      </c>
      <c r="I5" s="38">
        <v>7.91</v>
      </c>
      <c r="J5" s="38">
        <v>12.81</v>
      </c>
      <c r="K5" s="38">
        <v>16.55</v>
      </c>
      <c r="L5" s="38">
        <v>29.31</v>
      </c>
      <c r="N5">
        <f>SUM(B5:L5)</f>
        <v>74.5</v>
      </c>
    </row>
    <row r="6" spans="1:21" x14ac:dyDescent="0.2"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8">
        <v>10.46</v>
      </c>
      <c r="H6" s="37">
        <v>0</v>
      </c>
      <c r="I6" s="38">
        <v>11.16</v>
      </c>
      <c r="J6" s="38">
        <v>14.05</v>
      </c>
      <c r="K6" s="38">
        <v>24.09</v>
      </c>
      <c r="L6" s="38">
        <v>29.47</v>
      </c>
      <c r="N6">
        <f>SUM(B6:L6)</f>
        <v>89.23</v>
      </c>
    </row>
    <row r="7" spans="1:21" x14ac:dyDescent="0.2">
      <c r="A7">
        <v>2009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8">
        <v>13.26</v>
      </c>
      <c r="H7" s="37">
        <v>0</v>
      </c>
      <c r="I7" s="38">
        <v>10.36</v>
      </c>
      <c r="J7" s="38">
        <v>9.92</v>
      </c>
      <c r="K7" s="38">
        <v>21.05</v>
      </c>
      <c r="L7" s="38">
        <v>27.28</v>
      </c>
      <c r="M7" s="38"/>
      <c r="N7">
        <f>SUM(B7:M7)</f>
        <v>81.87</v>
      </c>
      <c r="O7" s="38">
        <v>5.4</v>
      </c>
      <c r="R7">
        <v>2009</v>
      </c>
      <c r="S7" s="69">
        <f>D7+I7</f>
        <v>10.36</v>
      </c>
    </row>
    <row r="8" spans="1:21" x14ac:dyDescent="0.2">
      <c r="A8">
        <f>A7+1</f>
        <v>2010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8">
        <v>13.83</v>
      </c>
      <c r="H8" s="37">
        <v>0</v>
      </c>
      <c r="I8" s="38">
        <v>13.54</v>
      </c>
      <c r="J8" s="38">
        <v>9.15</v>
      </c>
      <c r="K8" s="38">
        <v>17.260000000000002</v>
      </c>
      <c r="L8" s="38">
        <v>20.55</v>
      </c>
      <c r="N8">
        <f>SUM(B8:L8)</f>
        <v>74.33</v>
      </c>
      <c r="O8" s="38">
        <v>5.29</v>
      </c>
      <c r="R8">
        <f>R7+1</f>
        <v>2010</v>
      </c>
      <c r="S8" s="43">
        <f>D8+I8</f>
        <v>13.54</v>
      </c>
    </row>
    <row r="9" spans="1:21" x14ac:dyDescent="0.2">
      <c r="A9">
        <f>A8+1</f>
        <v>2011</v>
      </c>
      <c r="B9" s="37">
        <v>0</v>
      </c>
      <c r="C9" s="37">
        <v>0</v>
      </c>
      <c r="D9" s="37">
        <v>0</v>
      </c>
      <c r="E9" s="38">
        <v>12.48</v>
      </c>
      <c r="F9" s="38">
        <v>0.48</v>
      </c>
      <c r="G9" s="38">
        <v>14.42</v>
      </c>
      <c r="H9" s="37">
        <v>0</v>
      </c>
      <c r="I9" s="38">
        <v>13.95</v>
      </c>
      <c r="J9" s="38">
        <v>7.52</v>
      </c>
      <c r="K9" s="38">
        <v>11.49</v>
      </c>
      <c r="L9" s="38">
        <v>8.76</v>
      </c>
      <c r="N9">
        <f>SUM(B9:L9)</f>
        <v>69.099999999999994</v>
      </c>
      <c r="O9" s="38">
        <v>4.96</v>
      </c>
      <c r="P9" s="38">
        <v>103.8</v>
      </c>
      <c r="R9">
        <f>R8+1</f>
        <v>2011</v>
      </c>
      <c r="S9" s="43">
        <f>D9+I9</f>
        <v>13.95</v>
      </c>
    </row>
    <row r="10" spans="1:21" x14ac:dyDescent="0.2">
      <c r="A10">
        <f>A9+1</f>
        <v>2012</v>
      </c>
      <c r="B10" s="37">
        <v>0</v>
      </c>
      <c r="C10" s="37">
        <v>0</v>
      </c>
      <c r="D10" s="37">
        <v>0</v>
      </c>
      <c r="E10" s="38">
        <v>13.28</v>
      </c>
      <c r="F10" s="38">
        <v>3.6</v>
      </c>
      <c r="G10" s="38">
        <v>11.97</v>
      </c>
      <c r="H10" s="38">
        <v>2.16</v>
      </c>
      <c r="I10" s="38">
        <v>10.69</v>
      </c>
      <c r="J10" s="38">
        <v>4.24</v>
      </c>
      <c r="K10" s="38">
        <v>5.1100000000000003</v>
      </c>
      <c r="L10" s="38">
        <v>3.08</v>
      </c>
      <c r="N10">
        <f>SUM(B10:L10)</f>
        <v>54.13</v>
      </c>
      <c r="O10" s="38">
        <v>4.0999999999999996</v>
      </c>
      <c r="P10" s="38">
        <v>87.4</v>
      </c>
      <c r="R10">
        <f>R9+1</f>
        <v>2012</v>
      </c>
      <c r="S10" s="43">
        <f>D10+I10</f>
        <v>10.69</v>
      </c>
    </row>
    <row r="11" spans="1:21" x14ac:dyDescent="0.2">
      <c r="A11">
        <f>A10+1</f>
        <v>2013</v>
      </c>
      <c r="B11" s="38">
        <v>4.46</v>
      </c>
      <c r="C11" s="37">
        <v>0</v>
      </c>
      <c r="D11" s="38">
        <v>3.06</v>
      </c>
      <c r="E11" s="38">
        <v>13.95</v>
      </c>
      <c r="F11" s="38">
        <v>3.36</v>
      </c>
      <c r="G11" s="38">
        <v>8.26</v>
      </c>
      <c r="H11" s="38">
        <v>3.07</v>
      </c>
      <c r="I11" s="38">
        <v>6.24</v>
      </c>
      <c r="J11" s="38">
        <v>2.98</v>
      </c>
      <c r="K11" s="38">
        <v>2.04</v>
      </c>
      <c r="L11" s="38">
        <v>0.96</v>
      </c>
      <c r="N11">
        <f>SUM(B11:L11)</f>
        <v>48.379999999999995</v>
      </c>
      <c r="O11" s="38">
        <v>5.32</v>
      </c>
      <c r="P11" s="38">
        <v>79.099999999999994</v>
      </c>
      <c r="Q11" s="41">
        <f>(O11*7)+(O10*4)+(O9*2)+(O8*1)+(O7*1)</f>
        <v>74.250000000000014</v>
      </c>
      <c r="R11">
        <f>R10+1</f>
        <v>2013</v>
      </c>
      <c r="S11" s="70">
        <f>D11+I11</f>
        <v>9.3000000000000007</v>
      </c>
      <c r="U11" s="41">
        <f>(S11*7)+(S10*4)+(S9*2)+(S8*1)+(S7*1)</f>
        <v>159.66000000000003</v>
      </c>
    </row>
    <row r="12" spans="1:21" x14ac:dyDescent="0.2">
      <c r="A12">
        <f>A11+1</f>
        <v>2014</v>
      </c>
      <c r="B12" s="38">
        <v>13.73</v>
      </c>
      <c r="C12" s="37">
        <v>0</v>
      </c>
      <c r="D12" s="38">
        <v>7.23</v>
      </c>
      <c r="E12" s="38">
        <v>8.8800000000000008</v>
      </c>
      <c r="F12" s="38">
        <v>2.66</v>
      </c>
      <c r="G12" s="38">
        <v>3.44</v>
      </c>
      <c r="H12" s="38">
        <v>3.46</v>
      </c>
      <c r="I12" s="38">
        <v>2.54</v>
      </c>
      <c r="J12" s="38">
        <v>0.56999999999999995</v>
      </c>
      <c r="K12" s="38">
        <v>0.79</v>
      </c>
      <c r="L12" s="37">
        <v>0</v>
      </c>
      <c r="N12">
        <f>SUM(B12:L12)</f>
        <v>43.3</v>
      </c>
      <c r="O12">
        <v>6.24</v>
      </c>
      <c r="P12" s="38">
        <v>68.599999999999994</v>
      </c>
      <c r="Q12" s="41">
        <f>(O12*6)+(O11*3)+(O10*2)+(O9*1)+(O8*1)</f>
        <v>71.849999999999994</v>
      </c>
      <c r="R12">
        <f>R11+1</f>
        <v>2014</v>
      </c>
      <c r="S12" s="43">
        <f>D12+I12</f>
        <v>9.77</v>
      </c>
      <c r="U12" s="41">
        <f>(S12*6)+(S11*3)+(S10*2)+(S9*1)+(S8*1)</f>
        <v>135.38999999999999</v>
      </c>
    </row>
    <row r="13" spans="1:21" x14ac:dyDescent="0.2">
      <c r="A13">
        <f>A12+1</f>
        <v>2015</v>
      </c>
      <c r="B13" s="38">
        <v>17.739999999999998</v>
      </c>
      <c r="C13" s="37">
        <v>0</v>
      </c>
      <c r="D13" s="38">
        <v>8.39</v>
      </c>
      <c r="E13" s="38">
        <v>7.83</v>
      </c>
      <c r="F13" s="38">
        <v>2.76</v>
      </c>
      <c r="G13" s="38">
        <v>1.72</v>
      </c>
      <c r="H13" s="38">
        <v>3.58</v>
      </c>
      <c r="I13" s="38">
        <v>0.99</v>
      </c>
      <c r="J13" s="37">
        <v>0</v>
      </c>
      <c r="K13" s="38">
        <v>0.3</v>
      </c>
      <c r="L13" s="37">
        <v>0</v>
      </c>
      <c r="N13">
        <f>SUM(B13:L13)</f>
        <v>43.309999999999995</v>
      </c>
      <c r="O13">
        <v>5.98</v>
      </c>
      <c r="P13" s="38">
        <v>66</v>
      </c>
      <c r="Q13" s="41">
        <f>(O13*6)+(O12*2)+(O11*2)+(O10*1)+(O9*1)</f>
        <v>68.06</v>
      </c>
      <c r="R13">
        <f>R12+1</f>
        <v>2015</v>
      </c>
      <c r="S13" s="43">
        <f>D13+I13</f>
        <v>9.3800000000000008</v>
      </c>
      <c r="U13" s="41">
        <f>(S13*6)+(S12*2)+(S11*2)+(S10*1)+(S9*1)</f>
        <v>119.05999999999999</v>
      </c>
    </row>
    <row r="14" spans="1:21" x14ac:dyDescent="0.2">
      <c r="A14">
        <f>A13+1</f>
        <v>2016</v>
      </c>
      <c r="B14" s="38">
        <v>17.79</v>
      </c>
      <c r="C14" s="37">
        <v>0</v>
      </c>
      <c r="D14" s="38">
        <v>7.98</v>
      </c>
      <c r="E14" s="38">
        <v>7.3</v>
      </c>
      <c r="F14" s="48">
        <v>2</v>
      </c>
      <c r="G14" s="38">
        <v>0.67</v>
      </c>
      <c r="H14" s="38">
        <v>1.1599999999999999</v>
      </c>
      <c r="I14" s="38">
        <v>0.39</v>
      </c>
      <c r="J14" s="37">
        <v>0</v>
      </c>
      <c r="K14" s="37">
        <v>0</v>
      </c>
      <c r="L14" s="37">
        <v>0</v>
      </c>
      <c r="N14">
        <f>SUM(B14:L14)</f>
        <v>37.29</v>
      </c>
      <c r="O14">
        <v>4.3</v>
      </c>
      <c r="P14" s="38">
        <v>54.2</v>
      </c>
      <c r="Q14" s="41">
        <f>(O14*5)+(O13*2)+(O12*2)+(O11*1)+(O10*1)</f>
        <v>55.36</v>
      </c>
      <c r="R14">
        <f>R13+1</f>
        <v>2016</v>
      </c>
      <c r="S14" s="43">
        <f>D14+I14</f>
        <v>8.370000000000001</v>
      </c>
      <c r="U14" s="41">
        <f>(S14*5)+(S13*2)+(S12*2)+(S11*1)+(S10*1)</f>
        <v>100.14</v>
      </c>
    </row>
    <row r="15" spans="1:21" x14ac:dyDescent="0.2">
      <c r="A15">
        <f>A14+1</f>
        <v>2017</v>
      </c>
      <c r="B15" s="38">
        <v>19.809999999999999</v>
      </c>
      <c r="C15" s="38">
        <v>13.12</v>
      </c>
      <c r="D15" s="38">
        <v>7.64</v>
      </c>
      <c r="E15" s="38">
        <v>6.64</v>
      </c>
      <c r="F15" s="38">
        <v>0.78</v>
      </c>
      <c r="G15" s="38">
        <v>0.2</v>
      </c>
      <c r="H15" s="38">
        <v>0.13</v>
      </c>
      <c r="I15" s="38">
        <v>0.06</v>
      </c>
      <c r="J15" s="37">
        <v>0</v>
      </c>
      <c r="K15" s="37">
        <v>0</v>
      </c>
      <c r="L15" s="37">
        <v>0</v>
      </c>
      <c r="N15">
        <f>SUM(B15:L15)</f>
        <v>48.38000000000001</v>
      </c>
      <c r="O15">
        <v>5.51</v>
      </c>
      <c r="P15" s="38">
        <v>53.8</v>
      </c>
      <c r="Q15" s="41">
        <f>(O15*4)+(O14*2)+(O13*2)+(O12*1)+(O11*1)</f>
        <v>54.160000000000004</v>
      </c>
      <c r="R15">
        <f>R14+1</f>
        <v>2017</v>
      </c>
      <c r="S15" s="43">
        <f>D15+I15</f>
        <v>7.6999999999999993</v>
      </c>
      <c r="U15" s="41">
        <f>(S15*4)+(S14*2)+(S13*2)+(S12*1)+(S11*1)</f>
        <v>85.36999999999999</v>
      </c>
    </row>
    <row r="16" spans="1:21" x14ac:dyDescent="0.2">
      <c r="A16">
        <f>A15+1</f>
        <v>2018</v>
      </c>
      <c r="B16" s="38">
        <v>18.28</v>
      </c>
      <c r="C16" s="38">
        <v>16.34</v>
      </c>
      <c r="D16" s="38">
        <v>6.83</v>
      </c>
      <c r="E16" s="38">
        <v>3.54</v>
      </c>
      <c r="F16" s="38">
        <v>0.23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N16">
        <f>SUM(B16:L16)</f>
        <v>45.22</v>
      </c>
      <c r="O16">
        <v>5.44</v>
      </c>
      <c r="P16" s="38">
        <v>51</v>
      </c>
      <c r="Q16" s="41">
        <f>(O16*4)+(O15*2)+(O14*2)+(O13*1)+(O12*0.5)</f>
        <v>50.48</v>
      </c>
      <c r="R16">
        <f>R15+1</f>
        <v>2018</v>
      </c>
      <c r="S16" s="69">
        <f>D16+I16</f>
        <v>6.83</v>
      </c>
      <c r="U16" s="41">
        <f>(S16*4)+(S15*2)+(S14*2)+(S13*1)+(S12*0.5)</f>
        <v>73.725000000000009</v>
      </c>
    </row>
    <row r="17" spans="1:33" x14ac:dyDescent="0.2">
      <c r="A17">
        <f>A16+1</f>
        <v>2019</v>
      </c>
      <c r="B17" s="38">
        <v>14.27</v>
      </c>
      <c r="C17" s="38">
        <v>19.28</v>
      </c>
      <c r="D17" s="38">
        <v>4.97</v>
      </c>
      <c r="E17" s="38">
        <v>1.55</v>
      </c>
      <c r="F17" s="38">
        <v>0.03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N17">
        <f>SUM(B17:L17)</f>
        <v>40.099999999999994</v>
      </c>
      <c r="R17">
        <f>R16+1</f>
        <v>2019</v>
      </c>
      <c r="S17" s="43">
        <f>D17+I17</f>
        <v>4.97</v>
      </c>
      <c r="U17" s="41">
        <f>(S17*4)+(S16*2)+(S15*1)+(S14*1)+(S13*0.5)</f>
        <v>54.3</v>
      </c>
    </row>
    <row r="18" spans="1:33" x14ac:dyDescent="0.2">
      <c r="A18">
        <f>A17+1</f>
        <v>2020</v>
      </c>
      <c r="B18" s="38">
        <v>7.22</v>
      </c>
      <c r="C18" s="38">
        <v>15.6</v>
      </c>
      <c r="D18" s="38">
        <v>2.17</v>
      </c>
      <c r="E18" s="38">
        <v>0.33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N18">
        <f>SUM(B18:L18)</f>
        <v>25.32</v>
      </c>
      <c r="R18">
        <f>R17+1</f>
        <v>2020</v>
      </c>
      <c r="S18" s="43">
        <f>D18+I18</f>
        <v>2.17</v>
      </c>
      <c r="U18" s="41">
        <f>(S18*4)+(S17*2)+(S16*1)+(S15*1)+(S14*0.5)</f>
        <v>37.334999999999994</v>
      </c>
    </row>
    <row r="20" spans="1:33" x14ac:dyDescent="0.2">
      <c r="B20" s="51">
        <f>SUM(B11:B18)</f>
        <v>113.3</v>
      </c>
      <c r="D20" s="51">
        <f>SUM(D11:D18)</f>
        <v>48.269999999999996</v>
      </c>
      <c r="G20">
        <f>SUM(G2:G18)</f>
        <v>87.4</v>
      </c>
      <c r="I20">
        <f>SUM(I2:I18)</f>
        <v>85.82</v>
      </c>
    </row>
    <row r="23" spans="1:33" x14ac:dyDescent="0.2">
      <c r="B23" s="37" t="s">
        <v>49</v>
      </c>
      <c r="C23" s="37" t="s">
        <v>50</v>
      </c>
      <c r="D23" s="37" t="s">
        <v>51</v>
      </c>
      <c r="E23" s="37" t="s">
        <v>52</v>
      </c>
      <c r="F23" s="37" t="s">
        <v>53</v>
      </c>
      <c r="G23" s="37" t="s">
        <v>54</v>
      </c>
      <c r="H23" s="37" t="s">
        <v>55</v>
      </c>
      <c r="I23" s="37" t="s">
        <v>56</v>
      </c>
      <c r="J23" s="37" t="s">
        <v>57</v>
      </c>
      <c r="K23" s="37" t="s">
        <v>58</v>
      </c>
      <c r="L23" s="37" t="s">
        <v>59</v>
      </c>
      <c r="O23" s="37" t="s">
        <v>74</v>
      </c>
    </row>
    <row r="24" spans="1:33" x14ac:dyDescent="0.2">
      <c r="B24" s="52">
        <f>B2*400</f>
        <v>0</v>
      </c>
      <c r="C24" s="52">
        <f>C2*300</f>
        <v>0</v>
      </c>
      <c r="D24" s="52">
        <f>D2*500</f>
        <v>0</v>
      </c>
      <c r="E24" s="52">
        <f>E2*250</f>
        <v>0</v>
      </c>
      <c r="F24" s="52">
        <f>F2*250</f>
        <v>0</v>
      </c>
      <c r="G24" s="52">
        <f>G2*550</f>
        <v>0</v>
      </c>
      <c r="H24" s="52">
        <f>H2*300</f>
        <v>0</v>
      </c>
      <c r="I24" s="52">
        <f>I2*350</f>
        <v>0</v>
      </c>
      <c r="J24" s="52">
        <f>J2*250</f>
        <v>117.5</v>
      </c>
      <c r="K24" s="52">
        <f>K2*250</f>
        <v>0</v>
      </c>
      <c r="L24" s="52">
        <f>L2*130</f>
        <v>371.8</v>
      </c>
      <c r="N24" s="46">
        <f>SUM(B24:L24)</f>
        <v>489.3</v>
      </c>
      <c r="O24" s="50">
        <f>N24/N2</f>
        <v>146.93693693693695</v>
      </c>
      <c r="W24">
        <v>9</v>
      </c>
      <c r="X24">
        <v>10</v>
      </c>
      <c r="Y24">
        <v>11</v>
      </c>
      <c r="Z24">
        <v>12</v>
      </c>
      <c r="AA24">
        <v>13</v>
      </c>
      <c r="AB24">
        <v>14</v>
      </c>
      <c r="AC24">
        <v>15</v>
      </c>
      <c r="AD24">
        <v>16</v>
      </c>
      <c r="AE24">
        <v>17</v>
      </c>
      <c r="AF24">
        <v>18</v>
      </c>
      <c r="AG24">
        <v>19</v>
      </c>
    </row>
    <row r="25" spans="1:33" x14ac:dyDescent="0.2">
      <c r="B25" s="52">
        <f>B3*400</f>
        <v>0</v>
      </c>
      <c r="C25" s="52">
        <f>C3*300</f>
        <v>0</v>
      </c>
      <c r="D25" s="52">
        <f>D3*500</f>
        <v>0</v>
      </c>
      <c r="E25" s="52">
        <f>E3*250</f>
        <v>0</v>
      </c>
      <c r="F25" s="52">
        <f>F3*250</f>
        <v>0</v>
      </c>
      <c r="G25" s="52">
        <f>G3*550</f>
        <v>0</v>
      </c>
      <c r="H25" s="52">
        <f>H3*300</f>
        <v>0</v>
      </c>
      <c r="I25" s="52">
        <f>I3*350</f>
        <v>413</v>
      </c>
      <c r="J25" s="52">
        <f>J3*250</f>
        <v>2402.5</v>
      </c>
      <c r="K25" s="52">
        <f>K3*250</f>
        <v>0</v>
      </c>
      <c r="L25" s="52">
        <f>L3*130</f>
        <v>1428.7</v>
      </c>
      <c r="N25" s="46">
        <f>SUM(B25:L25)</f>
        <v>4244.2</v>
      </c>
      <c r="O25" s="50">
        <f>N25/N3</f>
        <v>194.86685032139576</v>
      </c>
      <c r="V25" t="s">
        <v>4</v>
      </c>
      <c r="W25" s="6">
        <v>1756.5</v>
      </c>
      <c r="X25" s="6">
        <v>1720</v>
      </c>
      <c r="Y25" s="6">
        <v>1611.6</v>
      </c>
      <c r="Z25" s="6">
        <v>1333.4</v>
      </c>
      <c r="AA25" s="6">
        <v>1730</v>
      </c>
      <c r="AB25" s="6">
        <v>2028.7</v>
      </c>
      <c r="AC25" s="6">
        <v>1944.7</v>
      </c>
      <c r="AD25" s="6">
        <v>1396.7</v>
      </c>
      <c r="AE25" s="6">
        <v>1791.8</v>
      </c>
      <c r="AF25" s="6">
        <v>1767.8</v>
      </c>
      <c r="AG25" s="57">
        <f>AG26/1000000</f>
        <v>1507.3589999999999</v>
      </c>
    </row>
    <row r="26" spans="1:33" x14ac:dyDescent="0.2">
      <c r="B26" s="52">
        <f>B4*400</f>
        <v>0</v>
      </c>
      <c r="C26" s="52">
        <f>C4*300</f>
        <v>0</v>
      </c>
      <c r="D26" s="52">
        <f>D4*500</f>
        <v>0</v>
      </c>
      <c r="E26" s="52">
        <f>E4*250</f>
        <v>0</v>
      </c>
      <c r="F26" s="52">
        <f>F4*250</f>
        <v>0</v>
      </c>
      <c r="G26" s="52">
        <f>G4*550</f>
        <v>687.5</v>
      </c>
      <c r="H26" s="52">
        <f>H4*300</f>
        <v>0</v>
      </c>
      <c r="I26" s="52">
        <f>I4*350</f>
        <v>2383.5</v>
      </c>
      <c r="J26" s="52">
        <f>J4*250</f>
        <v>2372.5</v>
      </c>
      <c r="K26" s="52">
        <f>K4*250</f>
        <v>740</v>
      </c>
      <c r="L26" s="52">
        <f>L4*130</f>
        <v>2698.8</v>
      </c>
      <c r="N26" s="46">
        <f>SUM(B26:L26)</f>
        <v>8882.2999999999993</v>
      </c>
      <c r="O26" s="50">
        <f>N26/N4</f>
        <v>215.22413375333173</v>
      </c>
      <c r="W26" s="49">
        <f>W25*1000000</f>
        <v>1756500000</v>
      </c>
      <c r="X26" s="49">
        <f>X25*1000000</f>
        <v>1720000000</v>
      </c>
      <c r="Y26" s="49">
        <f>Y25*1000000</f>
        <v>1611600000</v>
      </c>
      <c r="Z26" s="49">
        <f>Z25*1000000</f>
        <v>1333400000</v>
      </c>
      <c r="AA26" s="49">
        <f>AA25*1000000</f>
        <v>1730000000</v>
      </c>
      <c r="AB26" s="49">
        <f>AB25*1000000</f>
        <v>2028700000</v>
      </c>
      <c r="AC26" s="49">
        <f>AC25*1000000</f>
        <v>1944700000</v>
      </c>
      <c r="AD26" s="49">
        <f>AD25*1000000</f>
        <v>1396700000</v>
      </c>
      <c r="AE26" s="49">
        <f>AE25*1000000</f>
        <v>1791800000</v>
      </c>
      <c r="AF26" s="49">
        <f>AF25*1000000</f>
        <v>1767800000</v>
      </c>
      <c r="AG26" s="49">
        <f>AG27*AG28</f>
        <v>1507359000</v>
      </c>
    </row>
    <row r="27" spans="1:33" x14ac:dyDescent="0.2">
      <c r="B27" s="52">
        <f>B5*400</f>
        <v>0</v>
      </c>
      <c r="C27" s="52">
        <f>C5*300</f>
        <v>0</v>
      </c>
      <c r="D27" s="52">
        <f>D5*500</f>
        <v>0</v>
      </c>
      <c r="E27" s="52">
        <f>E5*250</f>
        <v>0</v>
      </c>
      <c r="F27" s="52">
        <f>F5*250</f>
        <v>0</v>
      </c>
      <c r="G27" s="52">
        <f>G5*550</f>
        <v>4356</v>
      </c>
      <c r="H27" s="52">
        <f>H5*300</f>
        <v>0</v>
      </c>
      <c r="I27" s="52">
        <f>I5*350</f>
        <v>2768.5</v>
      </c>
      <c r="J27" s="52">
        <f>J5*250</f>
        <v>3202.5</v>
      </c>
      <c r="K27" s="52">
        <f>K5*250</f>
        <v>4137.5</v>
      </c>
      <c r="L27" s="52">
        <f>L5*130</f>
        <v>3810.2999999999997</v>
      </c>
      <c r="N27" s="46">
        <f>SUM(B27:L27)</f>
        <v>18274.8</v>
      </c>
      <c r="O27" s="50">
        <f>N27/N5</f>
        <v>245.29932885906038</v>
      </c>
      <c r="V27" t="s">
        <v>100</v>
      </c>
      <c r="W27" s="49">
        <v>271</v>
      </c>
      <c r="X27" s="49">
        <v>291</v>
      </c>
      <c r="Y27" s="49">
        <v>318</v>
      </c>
      <c r="Z27" s="49">
        <v>331</v>
      </c>
      <c r="AA27" s="49">
        <v>345</v>
      </c>
      <c r="AB27" s="49">
        <v>373</v>
      </c>
      <c r="AC27" s="49">
        <v>378</v>
      </c>
      <c r="AD27" s="49">
        <v>383</v>
      </c>
      <c r="AE27" s="49">
        <v>366</v>
      </c>
      <c r="AF27" s="49">
        <v>366</v>
      </c>
      <c r="AG27" s="49">
        <v>358</v>
      </c>
    </row>
    <row r="28" spans="1:33" x14ac:dyDescent="0.2">
      <c r="B28" s="52">
        <f>B6*400</f>
        <v>0</v>
      </c>
      <c r="C28" s="52">
        <f>C6*300</f>
        <v>0</v>
      </c>
      <c r="D28" s="52">
        <f>D6*500</f>
        <v>0</v>
      </c>
      <c r="E28" s="52">
        <f>E6*250</f>
        <v>0</v>
      </c>
      <c r="F28" s="52">
        <f>F6*250</f>
        <v>0</v>
      </c>
      <c r="G28" s="52">
        <f>G6*550</f>
        <v>5753.0000000000009</v>
      </c>
      <c r="H28" s="52">
        <f>H6*300</f>
        <v>0</v>
      </c>
      <c r="I28" s="52">
        <f>I6*350</f>
        <v>3906</v>
      </c>
      <c r="J28" s="52">
        <f>J6*250</f>
        <v>3512.5</v>
      </c>
      <c r="K28" s="52">
        <f>K6*250</f>
        <v>6022.5</v>
      </c>
      <c r="L28" s="52">
        <f>L6*130</f>
        <v>3831.1</v>
      </c>
      <c r="N28" s="46">
        <f>SUM(B28:L28)</f>
        <v>23025.1</v>
      </c>
      <c r="O28" s="50">
        <f>N28/N6</f>
        <v>258.04213829429563</v>
      </c>
      <c r="V28" t="s">
        <v>103</v>
      </c>
      <c r="W28" s="39">
        <f>W26/W27</f>
        <v>6481549.8154981546</v>
      </c>
      <c r="X28" s="39">
        <f>X26/X27</f>
        <v>5910652.9209621996</v>
      </c>
      <c r="Y28" s="39">
        <f>Y26/Y27</f>
        <v>5067924.5283018872</v>
      </c>
      <c r="Z28" s="39">
        <f>Z26/Z27</f>
        <v>4028398.7915407857</v>
      </c>
      <c r="AA28" s="39">
        <f>AA26/AA27</f>
        <v>5014492.7536231885</v>
      </c>
      <c r="AB28" s="39">
        <f>AB26/AB27</f>
        <v>5438873.9946380695</v>
      </c>
      <c r="AC28" s="39">
        <f>AC26/AC27</f>
        <v>5144708.9947089944</v>
      </c>
      <c r="AD28" s="39">
        <f>AD26/AD27</f>
        <v>3646736.2924281983</v>
      </c>
      <c r="AE28" s="39">
        <f>AE26/AE27</f>
        <v>4895628.4153005462</v>
      </c>
      <c r="AF28" s="39">
        <f>AF26/AF27</f>
        <v>4830054.6448087431</v>
      </c>
      <c r="AG28" s="58">
        <f>AG29*AG30</f>
        <v>4210500</v>
      </c>
    </row>
    <row r="29" spans="1:33" x14ac:dyDescent="0.2">
      <c r="A29">
        <v>2009</v>
      </c>
      <c r="B29" s="52">
        <f>B7*400</f>
        <v>0</v>
      </c>
      <c r="C29" s="52">
        <f>C7*300</f>
        <v>0</v>
      </c>
      <c r="D29" s="52">
        <f>D7*500</f>
        <v>0</v>
      </c>
      <c r="E29" s="52">
        <f>E7*250</f>
        <v>0</v>
      </c>
      <c r="F29" s="52">
        <f>F7*250</f>
        <v>0</v>
      </c>
      <c r="G29" s="52">
        <f>G7*550</f>
        <v>7293</v>
      </c>
      <c r="H29" s="52">
        <f>H7*300</f>
        <v>0</v>
      </c>
      <c r="I29" s="52">
        <f>I7*350</f>
        <v>3626</v>
      </c>
      <c r="J29" s="52">
        <f>J7*250</f>
        <v>2480</v>
      </c>
      <c r="K29" s="52">
        <f>K7*250</f>
        <v>5262.5</v>
      </c>
      <c r="L29" s="52">
        <f>L7*130</f>
        <v>3546.4</v>
      </c>
      <c r="N29" s="46">
        <f>SUM(B29:L29)</f>
        <v>22207.9</v>
      </c>
      <c r="O29" s="50">
        <f>N29/N7</f>
        <v>271.25809209722729</v>
      </c>
      <c r="P29">
        <v>2009</v>
      </c>
      <c r="V29" t="s">
        <v>106</v>
      </c>
      <c r="W29" s="39">
        <v>81870000</v>
      </c>
      <c r="X29" s="39">
        <v>74330000</v>
      </c>
      <c r="Y29" s="39">
        <v>69100000</v>
      </c>
      <c r="Z29" s="39">
        <v>54130000</v>
      </c>
      <c r="AA29" s="39">
        <v>48380000</v>
      </c>
      <c r="AB29" s="39">
        <v>43300000</v>
      </c>
      <c r="AC29" s="39">
        <v>43310000</v>
      </c>
      <c r="AD29" s="39">
        <v>37290000</v>
      </c>
      <c r="AE29" s="39">
        <v>48380000</v>
      </c>
      <c r="AF29" s="39">
        <v>45220000</v>
      </c>
      <c r="AG29" s="39">
        <v>40100000</v>
      </c>
    </row>
    <row r="30" spans="1:33" x14ac:dyDescent="0.2">
      <c r="A30">
        <f>A29+1</f>
        <v>2010</v>
      </c>
      <c r="B30" s="52">
        <f>B8*400</f>
        <v>0</v>
      </c>
      <c r="C30" s="52">
        <f>C8*300</f>
        <v>0</v>
      </c>
      <c r="D30" s="52">
        <f>D8*500</f>
        <v>0</v>
      </c>
      <c r="E30" s="52">
        <f>E8*250</f>
        <v>0</v>
      </c>
      <c r="F30" s="52">
        <f>F8*250</f>
        <v>0</v>
      </c>
      <c r="G30" s="52">
        <f>G8*550</f>
        <v>7606.5</v>
      </c>
      <c r="H30" s="52">
        <f>H8*300</f>
        <v>0</v>
      </c>
      <c r="I30" s="52">
        <f>I8*350</f>
        <v>4739</v>
      </c>
      <c r="J30" s="52">
        <f>J8*250</f>
        <v>2287.5</v>
      </c>
      <c r="K30" s="52">
        <f>K8*250</f>
        <v>4315</v>
      </c>
      <c r="L30" s="52">
        <f>L8*130</f>
        <v>2671.5</v>
      </c>
      <c r="N30" s="46">
        <f>SUM(B30:L30)</f>
        <v>21619.5</v>
      </c>
      <c r="O30" s="50">
        <f>N30/N8</f>
        <v>290.85833445445985</v>
      </c>
      <c r="P30">
        <f>P29+1</f>
        <v>2010</v>
      </c>
      <c r="V30" t="s">
        <v>109</v>
      </c>
      <c r="W30" s="47">
        <f>W28/W29</f>
        <v>7.9168801948188039E-2</v>
      </c>
      <c r="X30" s="47">
        <f>X28/X29</f>
        <v>7.9519076025322211E-2</v>
      </c>
      <c r="Y30" s="47">
        <f>Y28/Y29</f>
        <v>7.3341888976872466E-2</v>
      </c>
      <c r="Z30" s="47">
        <f>Z28/Z29</f>
        <v>7.4420816396467498E-2</v>
      </c>
      <c r="AA30" s="47">
        <f>AA28/AA29</f>
        <v>0.10364805195583275</v>
      </c>
      <c r="AB30" s="47">
        <f>AB28/AB29</f>
        <v>0.12560909918332724</v>
      </c>
      <c r="AC30" s="47">
        <f>AC28/AC29</f>
        <v>0.11878801650217027</v>
      </c>
      <c r="AD30" s="47">
        <f>AD28/AD29</f>
        <v>9.7793947235939885E-2</v>
      </c>
      <c r="AE30" s="47">
        <f>AE28/AE29</f>
        <v>0.10119116195329778</v>
      </c>
      <c r="AF30" s="47">
        <f>AF28/AF29</f>
        <v>0.1068123539320819</v>
      </c>
      <c r="AG30" s="59">
        <v>0.105</v>
      </c>
    </row>
    <row r="31" spans="1:33" x14ac:dyDescent="0.2">
      <c r="A31">
        <f>A30+1</f>
        <v>2011</v>
      </c>
      <c r="B31" s="52">
        <f>B9*400</f>
        <v>0</v>
      </c>
      <c r="C31" s="52">
        <f>C9*300</f>
        <v>0</v>
      </c>
      <c r="D31" s="52">
        <f>D9*500</f>
        <v>0</v>
      </c>
      <c r="E31" s="52">
        <f>E9*250</f>
        <v>3120</v>
      </c>
      <c r="F31" s="52">
        <f>F9*250</f>
        <v>120</v>
      </c>
      <c r="G31" s="52">
        <f>G9*550</f>
        <v>7931</v>
      </c>
      <c r="H31" s="52">
        <f>H9*300</f>
        <v>0</v>
      </c>
      <c r="I31" s="52">
        <f>I9*350</f>
        <v>4882.5</v>
      </c>
      <c r="J31" s="52">
        <f>J9*250</f>
        <v>1880</v>
      </c>
      <c r="K31" s="52">
        <f>K9*250</f>
        <v>2872.5</v>
      </c>
      <c r="L31" s="52">
        <f>L9*130</f>
        <v>1138.8</v>
      </c>
      <c r="N31" s="46">
        <f>SUM(B31:L31)</f>
        <v>21944.799999999999</v>
      </c>
      <c r="O31" s="50">
        <f>N31/N9</f>
        <v>317.58031837916064</v>
      </c>
      <c r="P31">
        <f>P30+1</f>
        <v>2011</v>
      </c>
      <c r="V31" t="s">
        <v>148</v>
      </c>
      <c r="AB31">
        <v>6206</v>
      </c>
      <c r="AC31">
        <v>6046</v>
      </c>
      <c r="AD31">
        <v>5927</v>
      </c>
      <c r="AE31">
        <v>5796</v>
      </c>
      <c r="AF31">
        <v>5684</v>
      </c>
      <c r="AG31">
        <v>5509</v>
      </c>
    </row>
    <row r="32" spans="1:33" x14ac:dyDescent="0.2">
      <c r="A32">
        <f>A31+1</f>
        <v>2012</v>
      </c>
      <c r="B32" s="52">
        <f>B10*400</f>
        <v>0</v>
      </c>
      <c r="C32" s="52">
        <f>C10*300</f>
        <v>0</v>
      </c>
      <c r="D32" s="52">
        <f>D10*500</f>
        <v>0</v>
      </c>
      <c r="E32" s="52">
        <f>E10*250</f>
        <v>3320</v>
      </c>
      <c r="F32" s="52">
        <f>F10*250</f>
        <v>900</v>
      </c>
      <c r="G32" s="52">
        <f>G10*550</f>
        <v>6583.5</v>
      </c>
      <c r="H32" s="52">
        <f>H10*300</f>
        <v>648</v>
      </c>
      <c r="I32" s="52">
        <f>I10*350</f>
        <v>3741.5</v>
      </c>
      <c r="J32" s="52">
        <f>J10*250</f>
        <v>1060</v>
      </c>
      <c r="K32" s="52">
        <f>K10*250</f>
        <v>1277.5</v>
      </c>
      <c r="L32" s="52">
        <f>L10*130</f>
        <v>400.40000000000003</v>
      </c>
      <c r="N32" s="46">
        <f>SUM(B32:L32)</f>
        <v>17930.900000000001</v>
      </c>
      <c r="O32" s="50">
        <f>N32/N10</f>
        <v>331.2562349898393</v>
      </c>
      <c r="P32">
        <f>P31+1</f>
        <v>2012</v>
      </c>
      <c r="V32" t="s">
        <v>149</v>
      </c>
      <c r="AB32" s="42">
        <f>AB28/AB31</f>
        <v>876.38962208154521</v>
      </c>
      <c r="AC32" s="42">
        <f t="shared" ref="AC32:AG32" si="0">AC28/AC31</f>
        <v>850.9277199320203</v>
      </c>
      <c r="AD32" s="42">
        <f t="shared" si="0"/>
        <v>615.27523071169196</v>
      </c>
      <c r="AE32" s="42">
        <f t="shared" si="0"/>
        <v>844.65638635275127</v>
      </c>
      <c r="AF32" s="42">
        <f t="shared" si="0"/>
        <v>849.76330837592241</v>
      </c>
      <c r="AG32" s="42">
        <f t="shared" si="0"/>
        <v>764.29479034307496</v>
      </c>
    </row>
    <row r="33" spans="1:33" x14ac:dyDescent="0.2">
      <c r="A33">
        <f>A32+1</f>
        <v>2013</v>
      </c>
      <c r="B33" s="52">
        <f>B11*400</f>
        <v>1784</v>
      </c>
      <c r="C33" s="52">
        <f>C11*300</f>
        <v>0</v>
      </c>
      <c r="D33" s="52">
        <f>D11*500</f>
        <v>1530</v>
      </c>
      <c r="E33" s="52">
        <f>E11*250</f>
        <v>3487.5</v>
      </c>
      <c r="F33" s="52">
        <f>F11*250</f>
        <v>840</v>
      </c>
      <c r="G33" s="52">
        <f>G11*550</f>
        <v>4543</v>
      </c>
      <c r="H33" s="52">
        <f>H11*300</f>
        <v>921</v>
      </c>
      <c r="I33" s="52">
        <f>I11*350</f>
        <v>2184</v>
      </c>
      <c r="J33" s="52">
        <f>J11*250</f>
        <v>745</v>
      </c>
      <c r="K33" s="52">
        <f>K11*250</f>
        <v>510</v>
      </c>
      <c r="L33" s="52">
        <f>L11*130</f>
        <v>124.8</v>
      </c>
      <c r="N33" s="46">
        <f>SUM(B33:L33)</f>
        <v>16669.3</v>
      </c>
      <c r="O33" s="50">
        <f>N33/N11</f>
        <v>344.54940057875154</v>
      </c>
      <c r="P33">
        <f>P32+1</f>
        <v>2013</v>
      </c>
      <c r="V33" s="40" t="s">
        <v>153</v>
      </c>
      <c r="W33" s="40"/>
      <c r="X33" s="40"/>
      <c r="Y33" s="40"/>
      <c r="Z33" s="40"/>
      <c r="AA33" s="40"/>
      <c r="AB33" s="71">
        <f>AB32*1.11</f>
        <v>972.79248051051525</v>
      </c>
      <c r="AC33" s="71">
        <f t="shared" ref="AC33:AG33" si="1">AC32*1.11</f>
        <v>944.52976912454267</v>
      </c>
      <c r="AD33" s="71">
        <f t="shared" si="1"/>
        <v>682.95550608997814</v>
      </c>
      <c r="AE33" s="71">
        <f t="shared" si="1"/>
        <v>937.56858885155395</v>
      </c>
      <c r="AF33" s="71">
        <f t="shared" si="1"/>
        <v>943.23727229727399</v>
      </c>
      <c r="AG33" s="71">
        <f t="shared" si="1"/>
        <v>848.36721728081329</v>
      </c>
    </row>
    <row r="34" spans="1:33" x14ac:dyDescent="0.2">
      <c r="A34">
        <f>A33+1</f>
        <v>2014</v>
      </c>
      <c r="B34" s="52">
        <f>B12*400</f>
        <v>5492</v>
      </c>
      <c r="C34" s="52">
        <f>C12*300</f>
        <v>0</v>
      </c>
      <c r="D34" s="52">
        <f>D12*500</f>
        <v>3615</v>
      </c>
      <c r="E34" s="52">
        <f>E12*250</f>
        <v>2220</v>
      </c>
      <c r="F34" s="52">
        <f>F12*250</f>
        <v>665</v>
      </c>
      <c r="G34" s="52">
        <f>G12*550</f>
        <v>1892</v>
      </c>
      <c r="H34" s="52">
        <f>H12*300</f>
        <v>1038</v>
      </c>
      <c r="I34" s="52">
        <f>I12*350</f>
        <v>889</v>
      </c>
      <c r="J34" s="52">
        <f>J12*250</f>
        <v>142.5</v>
      </c>
      <c r="K34" s="52">
        <f>K12*250</f>
        <v>197.5</v>
      </c>
      <c r="L34" s="52">
        <f>L12*130</f>
        <v>0</v>
      </c>
      <c r="N34" s="46">
        <f>SUM(B34:L34)</f>
        <v>16151</v>
      </c>
      <c r="O34" s="50">
        <f>N34/N12</f>
        <v>373.0023094688222</v>
      </c>
      <c r="P34">
        <f>P33+1</f>
        <v>2014</v>
      </c>
      <c r="V34" t="s">
        <v>146</v>
      </c>
      <c r="AB34">
        <v>4469</v>
      </c>
      <c r="AC34">
        <v>4338</v>
      </c>
      <c r="AD34">
        <v>4266</v>
      </c>
      <c r="AE34">
        <v>4185</v>
      </c>
      <c r="AF34">
        <v>4157</v>
      </c>
      <c r="AG34">
        <v>3941</v>
      </c>
    </row>
    <row r="35" spans="1:33" x14ac:dyDescent="0.2">
      <c r="A35">
        <f>A34+1</f>
        <v>2015</v>
      </c>
      <c r="B35" s="52">
        <f>B13*400</f>
        <v>7095.9999999999991</v>
      </c>
      <c r="C35" s="52">
        <f>C13*300</f>
        <v>0</v>
      </c>
      <c r="D35" s="52">
        <f>D13*500</f>
        <v>4195</v>
      </c>
      <c r="E35" s="52">
        <f>E13*250</f>
        <v>1957.5</v>
      </c>
      <c r="F35" s="52">
        <f>F13*250</f>
        <v>690</v>
      </c>
      <c r="G35" s="52">
        <f>G13*550</f>
        <v>946</v>
      </c>
      <c r="H35" s="52">
        <f>H13*300</f>
        <v>1074</v>
      </c>
      <c r="I35" s="52">
        <f>I13*350</f>
        <v>346.5</v>
      </c>
      <c r="J35" s="52">
        <f>J13*250</f>
        <v>0</v>
      </c>
      <c r="K35" s="52">
        <f>K13*250</f>
        <v>75</v>
      </c>
      <c r="L35" s="52">
        <f>L13*130</f>
        <v>0</v>
      </c>
      <c r="N35" s="46">
        <f>SUM(B35:L35)</f>
        <v>16380</v>
      </c>
      <c r="O35" s="50">
        <f>N35/N13</f>
        <v>378.20364811821753</v>
      </c>
      <c r="P35">
        <f>P34+1</f>
        <v>2015</v>
      </c>
      <c r="V35" t="s">
        <v>156</v>
      </c>
      <c r="AB35" s="39">
        <f t="shared" ref="AB35:AE35" si="2">AB33*AB34</f>
        <v>4347409.5954014929</v>
      </c>
      <c r="AC35" s="39">
        <f t="shared" si="2"/>
        <v>4097370.138462266</v>
      </c>
      <c r="AD35" s="39">
        <f t="shared" si="2"/>
        <v>2913488.1889798469</v>
      </c>
      <c r="AE35" s="39">
        <f t="shared" si="2"/>
        <v>3923724.5443437533</v>
      </c>
      <c r="AF35" s="39">
        <f>AF33*AF34</f>
        <v>3921037.3409397681</v>
      </c>
      <c r="AG35" s="39">
        <f>AG33*AG34</f>
        <v>3343415.2033036854</v>
      </c>
    </row>
    <row r="36" spans="1:33" x14ac:dyDescent="0.2">
      <c r="A36">
        <f>A35+1</f>
        <v>2016</v>
      </c>
      <c r="B36" s="52">
        <f>B14*400</f>
        <v>7116</v>
      </c>
      <c r="C36" s="52">
        <f>C14*300</f>
        <v>0</v>
      </c>
      <c r="D36" s="52">
        <f>D14*500</f>
        <v>3990</v>
      </c>
      <c r="E36" s="52">
        <f>E14*250</f>
        <v>1825</v>
      </c>
      <c r="F36" s="52">
        <f>F14*250</f>
        <v>500</v>
      </c>
      <c r="G36" s="52">
        <f>G14*550</f>
        <v>368.5</v>
      </c>
      <c r="H36" s="52">
        <f>H14*300</f>
        <v>348</v>
      </c>
      <c r="I36" s="52">
        <f>I14*350</f>
        <v>136.5</v>
      </c>
      <c r="J36" s="52">
        <f>J14*250</f>
        <v>0</v>
      </c>
      <c r="K36" s="52">
        <f>K14*250</f>
        <v>0</v>
      </c>
      <c r="L36" s="52">
        <f>L14*130</f>
        <v>0</v>
      </c>
      <c r="N36" s="46">
        <f>SUM(B36:L36)</f>
        <v>14284</v>
      </c>
      <c r="O36" s="50">
        <f>N36/N14</f>
        <v>383.05175650308394</v>
      </c>
      <c r="P36">
        <f>P35+1</f>
        <v>2016</v>
      </c>
      <c r="V36" t="s">
        <v>157</v>
      </c>
      <c r="Y36" s="6"/>
      <c r="Z36" s="6"/>
      <c r="AA36" s="6"/>
      <c r="AB36" s="47">
        <f t="shared" ref="AB36:AE36" si="3">AB35/AB29</f>
        <v>0.10040206917786358</v>
      </c>
      <c r="AC36" s="47">
        <f t="shared" si="3"/>
        <v>9.4605636999821427E-2</v>
      </c>
      <c r="AD36" s="47">
        <f t="shared" si="3"/>
        <v>7.8130549449714315E-2</v>
      </c>
      <c r="AE36" s="47">
        <f t="shared" si="3"/>
        <v>8.110220223943268E-2</v>
      </c>
      <c r="AF36" s="47">
        <f>AF35/AF29</f>
        <v>8.671024637195418E-2</v>
      </c>
      <c r="AG36" s="47">
        <f>AG35/AG29</f>
        <v>8.3376937738246518E-2</v>
      </c>
    </row>
    <row r="37" spans="1:33" x14ac:dyDescent="0.2">
      <c r="A37">
        <f>A36+1</f>
        <v>2017</v>
      </c>
      <c r="B37" s="52">
        <f>B15*400</f>
        <v>7923.9999999999991</v>
      </c>
      <c r="C37" s="52">
        <f>C15*300</f>
        <v>3935.9999999999995</v>
      </c>
      <c r="D37" s="52">
        <f>D15*500</f>
        <v>3820</v>
      </c>
      <c r="E37" s="52">
        <f>E15*250</f>
        <v>1660</v>
      </c>
      <c r="F37" s="52">
        <f>F15*250</f>
        <v>195</v>
      </c>
      <c r="G37" s="52">
        <f>G15*550</f>
        <v>110</v>
      </c>
      <c r="H37" s="52">
        <f>H15*300</f>
        <v>39</v>
      </c>
      <c r="I37" s="52">
        <f>I15*350</f>
        <v>21</v>
      </c>
      <c r="J37" s="52">
        <f>J15*250</f>
        <v>0</v>
      </c>
      <c r="K37" s="52">
        <f>K15*250</f>
        <v>0</v>
      </c>
      <c r="L37" s="52">
        <f>L15*130</f>
        <v>0</v>
      </c>
      <c r="N37" s="46">
        <f>SUM(B37:L37)</f>
        <v>17705</v>
      </c>
      <c r="O37" s="50">
        <f>N37/N15</f>
        <v>365.95700702769733</v>
      </c>
      <c r="P37">
        <f>P36+1</f>
        <v>2017</v>
      </c>
      <c r="Y37" s="47"/>
      <c r="Z37" s="47"/>
      <c r="AA37" s="47"/>
      <c r="AB37" s="47"/>
      <c r="AC37" s="47"/>
      <c r="AD37" s="47"/>
      <c r="AE37" s="47"/>
      <c r="AF37" s="47"/>
      <c r="AG37" s="47"/>
    </row>
    <row r="38" spans="1:33" x14ac:dyDescent="0.2">
      <c r="A38">
        <f>A37+1</f>
        <v>2018</v>
      </c>
      <c r="B38" s="52">
        <f>B16*400</f>
        <v>7312</v>
      </c>
      <c r="C38" s="52">
        <f>C16*300</f>
        <v>4902</v>
      </c>
      <c r="D38" s="52">
        <f>D16*500</f>
        <v>3415</v>
      </c>
      <c r="E38" s="52">
        <f>E16*250</f>
        <v>885</v>
      </c>
      <c r="F38" s="52">
        <f>F16*250</f>
        <v>57.5</v>
      </c>
      <c r="G38" s="52">
        <f>G16*550</f>
        <v>0</v>
      </c>
      <c r="H38" s="52">
        <f>H16*300</f>
        <v>0</v>
      </c>
      <c r="I38" s="52">
        <f>I16*350</f>
        <v>0</v>
      </c>
      <c r="J38" s="52">
        <f>J16*250</f>
        <v>0</v>
      </c>
      <c r="K38" s="52">
        <f>K16*250</f>
        <v>0</v>
      </c>
      <c r="L38" s="52">
        <f>L16*130</f>
        <v>0</v>
      </c>
      <c r="N38" s="46">
        <f>SUM(B38:L38)</f>
        <v>16571.5</v>
      </c>
      <c r="O38" s="50">
        <f>N38/N16</f>
        <v>366.46395400265368</v>
      </c>
      <c r="P38">
        <f>P37+1</f>
        <v>2018</v>
      </c>
    </row>
    <row r="39" spans="1:33" x14ac:dyDescent="0.2">
      <c r="A39">
        <f>A38+1</f>
        <v>2019</v>
      </c>
      <c r="B39" s="52">
        <f>B17*400</f>
        <v>5708</v>
      </c>
      <c r="C39" s="52">
        <f>C17*300</f>
        <v>5784</v>
      </c>
      <c r="D39" s="52">
        <f>D17*500</f>
        <v>2485</v>
      </c>
      <c r="E39" s="52">
        <f>E17*250</f>
        <v>387.5</v>
      </c>
      <c r="F39" s="52">
        <f>F17*250</f>
        <v>7.5</v>
      </c>
      <c r="G39" s="52">
        <f>G17*550</f>
        <v>0</v>
      </c>
      <c r="H39" s="52">
        <f>H17*300</f>
        <v>0</v>
      </c>
      <c r="I39" s="52">
        <f>I17*350</f>
        <v>0</v>
      </c>
      <c r="J39" s="52">
        <f>J17*250</f>
        <v>0</v>
      </c>
      <c r="K39" s="52">
        <f>K17*250</f>
        <v>0</v>
      </c>
      <c r="L39" s="52">
        <f>L17*130</f>
        <v>0</v>
      </c>
      <c r="N39" s="46">
        <f>SUM(B39:L39)</f>
        <v>14372</v>
      </c>
      <c r="O39" s="50">
        <f>N39/N17</f>
        <v>358.40399002493768</v>
      </c>
      <c r="P39">
        <f>P38+1</f>
        <v>2019</v>
      </c>
    </row>
    <row r="40" spans="1:33" x14ac:dyDescent="0.2">
      <c r="A40">
        <f>A39+1</f>
        <v>2020</v>
      </c>
      <c r="B40" s="52">
        <f>B18*400</f>
        <v>2888</v>
      </c>
      <c r="C40" s="52">
        <f>C18*300</f>
        <v>4680</v>
      </c>
      <c r="D40" s="52">
        <f>D18*500</f>
        <v>1085</v>
      </c>
      <c r="E40" s="52">
        <f>E18*250</f>
        <v>82.5</v>
      </c>
      <c r="F40" s="52">
        <f>F18*250</f>
        <v>0</v>
      </c>
      <c r="G40" s="52">
        <f>G18*550</f>
        <v>0</v>
      </c>
      <c r="H40" s="52">
        <f>H18*300</f>
        <v>0</v>
      </c>
      <c r="I40" s="52">
        <f>I18*350</f>
        <v>0</v>
      </c>
      <c r="J40" s="52">
        <f>J18*250</f>
        <v>0</v>
      </c>
      <c r="K40" s="52">
        <f>K18*250</f>
        <v>0</v>
      </c>
      <c r="L40" s="52">
        <f>L18*130</f>
        <v>0</v>
      </c>
      <c r="N40" s="46">
        <f>SUM(B40:L40)</f>
        <v>8735.5</v>
      </c>
      <c r="O40" s="50">
        <f>N40/N18</f>
        <v>345.00394944707739</v>
      </c>
      <c r="P40">
        <f>P39+1</f>
        <v>2020</v>
      </c>
      <c r="Y40" t="s">
        <v>150</v>
      </c>
      <c r="Z40" t="s">
        <v>84</v>
      </c>
      <c r="AA40" t="s">
        <v>85</v>
      </c>
    </row>
    <row r="41" spans="1:33" x14ac:dyDescent="0.2">
      <c r="X41" t="s">
        <v>133</v>
      </c>
      <c r="Y41">
        <v>4498</v>
      </c>
      <c r="Z41">
        <v>3642</v>
      </c>
      <c r="AA41" s="54">
        <f>Y41/Z41</f>
        <v>1.2350356946732564</v>
      </c>
    </row>
    <row r="42" spans="1:33" x14ac:dyDescent="0.2">
      <c r="X42" t="s">
        <v>134</v>
      </c>
      <c r="Y42">
        <v>344</v>
      </c>
      <c r="Z42">
        <v>299</v>
      </c>
      <c r="AA42" s="54">
        <f t="shared" ref="AA42:AA44" si="4">Y42/Z42</f>
        <v>1.1505016722408026</v>
      </c>
    </row>
    <row r="43" spans="1:33" x14ac:dyDescent="0.2">
      <c r="X43" t="s">
        <v>136</v>
      </c>
      <c r="Y43">
        <v>525</v>
      </c>
      <c r="Z43">
        <v>426</v>
      </c>
      <c r="AA43" s="54">
        <f t="shared" si="4"/>
        <v>1.232394366197183</v>
      </c>
    </row>
    <row r="44" spans="1:33" x14ac:dyDescent="0.2">
      <c r="X44" t="s">
        <v>135</v>
      </c>
      <c r="Y44">
        <v>1099</v>
      </c>
      <c r="Z44">
        <v>1142</v>
      </c>
      <c r="AA44" s="54">
        <f t="shared" si="4"/>
        <v>0.96234676007005249</v>
      </c>
    </row>
    <row r="45" spans="1:33" x14ac:dyDescent="0.2">
      <c r="X45" t="s">
        <v>1</v>
      </c>
      <c r="Y45">
        <f>SUM(Y41:Y44)</f>
        <v>6466</v>
      </c>
      <c r="Z45">
        <f>SUM(Z41:Z44)</f>
        <v>5509</v>
      </c>
    </row>
    <row r="46" spans="1:33" x14ac:dyDescent="0.2">
      <c r="AB46" t="s">
        <v>154</v>
      </c>
      <c r="AC46" t="s">
        <v>149</v>
      </c>
      <c r="AD46" t="s">
        <v>132</v>
      </c>
      <c r="AF46" t="s">
        <v>155</v>
      </c>
    </row>
    <row r="47" spans="1:33" x14ac:dyDescent="0.2">
      <c r="X47" t="s">
        <v>151</v>
      </c>
      <c r="Y47">
        <f>Y41+Y42</f>
        <v>4842</v>
      </c>
      <c r="Z47">
        <f>Z41+Z42</f>
        <v>3941</v>
      </c>
      <c r="AA47" s="54">
        <f>Y47/Z47</f>
        <v>1.228622177112408</v>
      </c>
      <c r="AB47" s="8">
        <f>Z47/Z49</f>
        <v>0.71537484116899619</v>
      </c>
      <c r="AC47" s="42">
        <v>850</v>
      </c>
      <c r="AD47" s="42">
        <f>AC47*Z47</f>
        <v>3349850</v>
      </c>
      <c r="AE47" s="42">
        <f>AC47</f>
        <v>850</v>
      </c>
      <c r="AF47" s="42">
        <f>AE47/AE49</f>
        <v>1.1116742833402575</v>
      </c>
    </row>
    <row r="48" spans="1:33" x14ac:dyDescent="0.2">
      <c r="X48" t="s">
        <v>152</v>
      </c>
      <c r="Y48">
        <f>Y43+Y44</f>
        <v>1624</v>
      </c>
      <c r="Z48">
        <f>Z43+Z44</f>
        <v>1568</v>
      </c>
      <c r="AA48" s="54">
        <f t="shared" ref="AA48" si="5">Y48/Z48</f>
        <v>1.0357142857142858</v>
      </c>
      <c r="AB48" s="8">
        <f>Z48/Z49</f>
        <v>0.28462515883100381</v>
      </c>
      <c r="AC48" s="42">
        <v>550</v>
      </c>
      <c r="AD48" s="42">
        <f>AC48*Z48</f>
        <v>862400</v>
      </c>
      <c r="AE48" s="42">
        <f>AC48</f>
        <v>550</v>
      </c>
    </row>
    <row r="49" spans="24:31" x14ac:dyDescent="0.2">
      <c r="Z49" s="42">
        <f>SUM(Z47:Z48)</f>
        <v>5509</v>
      </c>
      <c r="AD49" s="42">
        <f>SUM(AD47:AD48)</f>
        <v>4212250</v>
      </c>
      <c r="AE49" s="19">
        <f>AD49/Z49</f>
        <v>764.61245235069885</v>
      </c>
    </row>
    <row r="56" spans="24:31" x14ac:dyDescent="0.2">
      <c r="X56" t="s">
        <v>168</v>
      </c>
    </row>
    <row r="57" spans="24:31" x14ac:dyDescent="0.2">
      <c r="X57">
        <v>2016</v>
      </c>
      <c r="Y57">
        <v>2017</v>
      </c>
      <c r="Z57">
        <v>2018</v>
      </c>
      <c r="AA57">
        <v>2019</v>
      </c>
      <c r="AB57">
        <v>2020</v>
      </c>
    </row>
    <row r="58" spans="24:31" x14ac:dyDescent="0.2">
      <c r="X58">
        <v>37.299999999999997</v>
      </c>
      <c r="Y58">
        <v>48.4</v>
      </c>
      <c r="Z58">
        <v>45.2</v>
      </c>
      <c r="AA58">
        <v>40.1</v>
      </c>
      <c r="AB58">
        <v>40</v>
      </c>
    </row>
    <row r="60" spans="24:31" x14ac:dyDescent="0.2">
      <c r="X60">
        <v>21</v>
      </c>
      <c r="Y60">
        <v>22</v>
      </c>
      <c r="Z60">
        <v>23</v>
      </c>
      <c r="AA60">
        <v>24</v>
      </c>
      <c r="AB60">
        <v>25</v>
      </c>
    </row>
    <row r="61" spans="24:31" x14ac:dyDescent="0.2">
      <c r="X61">
        <f>(AA58*15)+(Z58*10)+(Y58*5)</f>
        <v>1295.5</v>
      </c>
      <c r="Y61">
        <f>(AA58*10)+(Z58*5)</f>
        <v>627</v>
      </c>
      <c r="Z61">
        <f>(AA58*5)</f>
        <v>200.5</v>
      </c>
      <c r="AA61" s="56"/>
    </row>
    <row r="66" spans="27:29" x14ac:dyDescent="0.2">
      <c r="AC66" s="56"/>
    </row>
    <row r="67" spans="27:29" x14ac:dyDescent="0.2">
      <c r="AA67" s="56"/>
      <c r="AB67" s="56"/>
    </row>
    <row r="68" spans="27:29" x14ac:dyDescent="0.2">
      <c r="AB68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sqref="A1:XFD1"/>
    </sheetView>
  </sheetViews>
  <sheetFormatPr baseColWidth="10" defaultRowHeight="16" x14ac:dyDescent="0.2"/>
  <sheetData>
    <row r="1" spans="2:9" x14ac:dyDescent="0.2">
      <c r="B1" t="s">
        <v>48</v>
      </c>
      <c r="C1">
        <v>13</v>
      </c>
      <c r="D1">
        <v>14</v>
      </c>
      <c r="E1">
        <v>15</v>
      </c>
      <c r="F1" s="1">
        <v>16</v>
      </c>
      <c r="G1" s="1">
        <v>17</v>
      </c>
      <c r="H1" s="1">
        <v>18</v>
      </c>
      <c r="I1" s="1">
        <v>19</v>
      </c>
    </row>
    <row r="2" spans="2:9" x14ac:dyDescent="0.2">
      <c r="B2" t="s">
        <v>60</v>
      </c>
      <c r="C2">
        <v>16.5</v>
      </c>
      <c r="D2">
        <v>14.8</v>
      </c>
      <c r="E2" s="2">
        <v>17.7</v>
      </c>
      <c r="F2" s="3">
        <v>20</v>
      </c>
      <c r="G2" s="4">
        <v>19</v>
      </c>
      <c r="H2" s="4">
        <v>17.8</v>
      </c>
      <c r="I2" s="4">
        <v>13.6</v>
      </c>
    </row>
    <row r="3" spans="2:9" x14ac:dyDescent="0.2">
      <c r="B3" t="s">
        <v>61</v>
      </c>
      <c r="E3" s="6">
        <v>158.69999999999999</v>
      </c>
      <c r="F3" s="7">
        <v>217.9</v>
      </c>
      <c r="G3" s="7">
        <v>246.9</v>
      </c>
      <c r="H3" s="7">
        <v>257.60000000000002</v>
      </c>
      <c r="I3" s="7">
        <v>245</v>
      </c>
    </row>
    <row r="4" spans="2:9" x14ac:dyDescent="0.2">
      <c r="B4" t="s">
        <v>62</v>
      </c>
      <c r="E4" s="8">
        <v>0.81</v>
      </c>
      <c r="F4" s="9">
        <v>0.73</v>
      </c>
      <c r="G4" s="9">
        <v>0.68</v>
      </c>
      <c r="H4" s="9">
        <v>0.63</v>
      </c>
      <c r="I4" s="9">
        <v>0.49</v>
      </c>
    </row>
    <row r="5" spans="2:9" x14ac:dyDescent="0.2">
      <c r="B5" s="1" t="s">
        <v>0</v>
      </c>
      <c r="C5" s="10"/>
      <c r="D5" s="10"/>
      <c r="E5" s="10">
        <f>E3*E4</f>
        <v>128.547</v>
      </c>
      <c r="F5" s="10">
        <f>F3*F4</f>
        <v>159.06700000000001</v>
      </c>
      <c r="G5" s="10">
        <f>G3*G4</f>
        <v>167.89200000000002</v>
      </c>
      <c r="H5" s="10">
        <f>H3*H4</f>
        <v>162.28800000000001</v>
      </c>
      <c r="I5" s="10">
        <f>I3*I4</f>
        <v>120.05</v>
      </c>
    </row>
    <row r="6" spans="2:9" x14ac:dyDescent="0.2">
      <c r="B6" t="s">
        <v>9</v>
      </c>
      <c r="E6" s="42">
        <f>E3-E5</f>
        <v>30.152999999999992</v>
      </c>
      <c r="F6" s="42">
        <f>F3-F5</f>
        <v>58.832999999999998</v>
      </c>
      <c r="G6" s="42">
        <f>G3-G5</f>
        <v>79.007999999999981</v>
      </c>
      <c r="H6" s="42">
        <f>H3-H5</f>
        <v>95.312000000000012</v>
      </c>
      <c r="I6" s="42">
        <f>I3-I5</f>
        <v>124.95</v>
      </c>
    </row>
    <row r="8" spans="2:9" x14ac:dyDescent="0.2">
      <c r="B8" t="s">
        <v>63</v>
      </c>
      <c r="C8">
        <f>C2</f>
        <v>16.5</v>
      </c>
      <c r="D8">
        <f>D2+C8</f>
        <v>31.3</v>
      </c>
      <c r="E8">
        <f>E2+D8</f>
        <v>49</v>
      </c>
      <c r="F8">
        <f>F2+E8</f>
        <v>69</v>
      </c>
      <c r="G8">
        <f>G2+F8</f>
        <v>88</v>
      </c>
      <c r="H8">
        <f>H2+G8</f>
        <v>105.8</v>
      </c>
      <c r="I8">
        <f>I2+H8</f>
        <v>119.39999999999999</v>
      </c>
    </row>
    <row r="9" spans="2:9" x14ac:dyDescent="0.2">
      <c r="B9" t="s">
        <v>64</v>
      </c>
      <c r="E9">
        <v>20.8</v>
      </c>
      <c r="F9">
        <v>26.4</v>
      </c>
      <c r="G9">
        <v>34.200000000000003</v>
      </c>
      <c r="H9">
        <v>36.4</v>
      </c>
      <c r="I9">
        <v>41.5</v>
      </c>
    </row>
    <row r="10" spans="2:9" x14ac:dyDescent="0.2">
      <c r="B10" t="s">
        <v>65</v>
      </c>
      <c r="F10">
        <f>F9-E9</f>
        <v>5.5999999999999979</v>
      </c>
      <c r="G10">
        <f>G9-F9</f>
        <v>7.8000000000000043</v>
      </c>
      <c r="H10">
        <f>H9-G9</f>
        <v>2.1999999999999957</v>
      </c>
      <c r="I10">
        <f>I9-H9</f>
        <v>5.1000000000000014</v>
      </c>
    </row>
    <row r="11" spans="2:9" x14ac:dyDescent="0.2">
      <c r="B11" t="s">
        <v>66</v>
      </c>
      <c r="E11" s="47">
        <f>E9/E8</f>
        <v>0.42448979591836739</v>
      </c>
      <c r="F11" s="47">
        <f>F9/F8</f>
        <v>0.38260869565217387</v>
      </c>
      <c r="G11" s="47">
        <f>G9/G8</f>
        <v>0.38863636363636367</v>
      </c>
      <c r="H11" s="47">
        <f>H9/H8</f>
        <v>0.34404536862003782</v>
      </c>
      <c r="I11" s="47">
        <f>I9/I8</f>
        <v>0.34757118927973202</v>
      </c>
    </row>
    <row r="12" spans="2:9" x14ac:dyDescent="0.2">
      <c r="F12" s="2">
        <f>(C2*F39)+(D2*E39)+(E2*D39)+(F2*C39)</f>
        <v>27.6</v>
      </c>
      <c r="G12" s="2">
        <f>(C2*G39)+(D2*F39)+(E2*E39)+(F2*D39)+(G2*C39)</f>
        <v>35.200000000000003</v>
      </c>
      <c r="H12" s="2">
        <f>(C2*H39)+(D2*G39)+(E2*F39)+(F2*E39)+(G2*D39)+(H2*C39)</f>
        <v>42.320000000000007</v>
      </c>
      <c r="I12" s="2">
        <f>(D2*H39)+(E2*G39)+(F2*F39)+(G2*E39)+(H2*D39)+(I2*C39)</f>
        <v>41.16</v>
      </c>
    </row>
    <row r="13" spans="2:9" x14ac:dyDescent="0.2">
      <c r="F13" s="2"/>
      <c r="G13" s="2"/>
      <c r="H13" s="2"/>
      <c r="I13" s="2"/>
    </row>
    <row r="14" spans="2:9" x14ac:dyDescent="0.2">
      <c r="B14" t="s">
        <v>67</v>
      </c>
      <c r="F14">
        <v>525683</v>
      </c>
      <c r="G14">
        <v>762220</v>
      </c>
      <c r="H14">
        <v>1102231</v>
      </c>
      <c r="I14">
        <v>1010296</v>
      </c>
    </row>
    <row r="15" spans="2:9" x14ac:dyDescent="0.2">
      <c r="B15" t="s">
        <v>68</v>
      </c>
      <c r="F15" s="49">
        <f>F14*0.009</f>
        <v>4731.1469999999999</v>
      </c>
      <c r="G15" s="49">
        <f>G14*0.009</f>
        <v>6859.98</v>
      </c>
      <c r="H15" s="49">
        <f>H14*0.009</f>
        <v>9920.0789999999997</v>
      </c>
      <c r="I15" s="49">
        <f>I14*0.009</f>
        <v>9092.6639999999989</v>
      </c>
    </row>
    <row r="16" spans="2:9" x14ac:dyDescent="0.2">
      <c r="B16" t="s">
        <v>69</v>
      </c>
      <c r="E16" s="49">
        <f>E6*50</f>
        <v>1507.6499999999996</v>
      </c>
      <c r="F16" s="49">
        <f>F6*50</f>
        <v>2941.65</v>
      </c>
      <c r="G16" s="49">
        <f>G6*50</f>
        <v>3950.3999999999992</v>
      </c>
      <c r="H16" s="49">
        <f>H6*50</f>
        <v>4765.6000000000004</v>
      </c>
      <c r="I16" s="49">
        <f>I6*50</f>
        <v>6247.5</v>
      </c>
    </row>
    <row r="17" spans="1:11" x14ac:dyDescent="0.2">
      <c r="B17" t="s">
        <v>70</v>
      </c>
      <c r="E17" s="50">
        <f>E15-E16</f>
        <v>-1507.6499999999996</v>
      </c>
      <c r="F17" s="50">
        <f>F15-F16</f>
        <v>1789.4969999999998</v>
      </c>
      <c r="G17" s="50">
        <f>G15-G16</f>
        <v>2909.5800000000004</v>
      </c>
      <c r="H17" s="50">
        <f>H15-H16</f>
        <v>5154.4789999999994</v>
      </c>
      <c r="I17" s="50">
        <f>I15-I16</f>
        <v>2845.1639999999989</v>
      </c>
      <c r="K17" s="50">
        <f>SUM(F17:I17)</f>
        <v>12698.72</v>
      </c>
    </row>
    <row r="20" spans="1:11" x14ac:dyDescent="0.2">
      <c r="B20" t="s">
        <v>71</v>
      </c>
      <c r="E20">
        <v>140573</v>
      </c>
      <c r="F20">
        <v>151215</v>
      </c>
      <c r="G20">
        <v>162099</v>
      </c>
      <c r="H20">
        <v>162903</v>
      </c>
      <c r="I20">
        <v>141607</v>
      </c>
    </row>
    <row r="21" spans="1:11" x14ac:dyDescent="0.2">
      <c r="B21" t="s">
        <v>72</v>
      </c>
      <c r="E21" s="49">
        <f>E20*0.009</f>
        <v>1265.1569999999999</v>
      </c>
      <c r="F21" s="49">
        <f>F20*0.009</f>
        <v>1360.9349999999999</v>
      </c>
      <c r="G21" s="49">
        <f>G20*0.009</f>
        <v>1458.8909999999998</v>
      </c>
      <c r="H21" s="49">
        <f>H20*0.009</f>
        <v>1466.127</v>
      </c>
      <c r="I21" s="49">
        <f>I20*0.009</f>
        <v>1274.463</v>
      </c>
    </row>
    <row r="23" spans="1:11" x14ac:dyDescent="0.2">
      <c r="B23" t="s">
        <v>73</v>
      </c>
      <c r="E23">
        <v>128579</v>
      </c>
      <c r="F23">
        <v>189241</v>
      </c>
      <c r="G23">
        <v>270972</v>
      </c>
      <c r="H23">
        <v>326525</v>
      </c>
      <c r="I23">
        <v>337265</v>
      </c>
    </row>
    <row r="24" spans="1:11" x14ac:dyDescent="0.2">
      <c r="B24" t="s">
        <v>72</v>
      </c>
      <c r="E24" s="49">
        <f>E23*0.009</f>
        <v>1157.211</v>
      </c>
      <c r="F24" s="49">
        <f>F23*0.009</f>
        <v>1703.1689999999999</v>
      </c>
      <c r="G24" s="49">
        <f>G23*0.009</f>
        <v>2438.7479999999996</v>
      </c>
      <c r="H24" s="49">
        <f>H23*0.009</f>
        <v>2938.7249999999999</v>
      </c>
      <c r="I24" s="49">
        <f>I23*0.009</f>
        <v>3035.3849999999998</v>
      </c>
    </row>
    <row r="25" spans="1:11" x14ac:dyDescent="0.2">
      <c r="B25" t="s">
        <v>75</v>
      </c>
      <c r="E25" s="49"/>
      <c r="F25" s="49">
        <f>E9*60</f>
        <v>1248</v>
      </c>
      <c r="G25" s="49">
        <f>F9*60</f>
        <v>1584</v>
      </c>
      <c r="H25" s="49">
        <f>G9*60</f>
        <v>2052</v>
      </c>
      <c r="I25" s="49">
        <f>H9*60</f>
        <v>2184</v>
      </c>
    </row>
    <row r="26" spans="1:11" x14ac:dyDescent="0.2">
      <c r="B26" t="s">
        <v>76</v>
      </c>
      <c r="E26" s="50"/>
      <c r="F26" s="50">
        <f>F24-F25</f>
        <v>455.16899999999987</v>
      </c>
      <c r="G26" s="50">
        <f>G24-G25</f>
        <v>854.74799999999959</v>
      </c>
      <c r="H26" s="50">
        <f>H24-H25</f>
        <v>886.72499999999991</v>
      </c>
      <c r="I26" s="50">
        <f>I24-I25</f>
        <v>851.38499999999976</v>
      </c>
    </row>
    <row r="27" spans="1:11" x14ac:dyDescent="0.2">
      <c r="F27" s="8">
        <f>F26/F25</f>
        <v>0.36471874999999987</v>
      </c>
      <c r="G27" s="8">
        <f>G26/G25</f>
        <v>0.53961363636363613</v>
      </c>
      <c r="H27" s="8">
        <f>H26/H25</f>
        <v>0.43212719298245611</v>
      </c>
      <c r="I27" s="8">
        <f>I26/I25</f>
        <v>0.38982829670329661</v>
      </c>
    </row>
    <row r="29" spans="1:11" x14ac:dyDescent="0.2">
      <c r="A29" t="s">
        <v>79</v>
      </c>
      <c r="C29">
        <f>C2*4</f>
        <v>66</v>
      </c>
      <c r="D29">
        <f>(D2*4)+(C2*2.5)</f>
        <v>100.45</v>
      </c>
      <c r="E29">
        <f>(E2*4)+(D2*2.5)+(C2*1)</f>
        <v>124.3</v>
      </c>
      <c r="F29">
        <f>(F2*4)+(E2*2.5)+(D2*1)+(C2*1)</f>
        <v>155.55000000000001</v>
      </c>
      <c r="G29">
        <f>(G2*4)+(F2*2.5)+(E2*1)+(D2*1)+(C2*0.5)</f>
        <v>166.75</v>
      </c>
      <c r="H29">
        <f>(H2*4)+(G2*2.5)+(F2*1)+(E2*1)+(D2*0.5)</f>
        <v>163.79999999999998</v>
      </c>
      <c r="I29">
        <f>(I2*4)+(H2*2.5)+(G2*1)+(F2*1)+(E2*0.5)</f>
        <v>146.75</v>
      </c>
    </row>
    <row r="30" spans="1:11" x14ac:dyDescent="0.2">
      <c r="A30" t="s">
        <v>81</v>
      </c>
      <c r="C30">
        <f>C2*0.5</f>
        <v>8.25</v>
      </c>
      <c r="D30">
        <f>(D2*0.5)+(C2*1)</f>
        <v>23.9</v>
      </c>
      <c r="E30">
        <f>(E2*0.5)+(D2*1)+(C2*1)</f>
        <v>40.15</v>
      </c>
      <c r="F30">
        <f>(F2*0.5)+(E2*1)+(D2*1)+(C2*1)</f>
        <v>59</v>
      </c>
      <c r="G30">
        <f>(G2*0.5)+(F2*1)+(E2*1)+(D2*1)+(C2*1)</f>
        <v>78.5</v>
      </c>
      <c r="H30">
        <f>(H2*0.5)+(G2*1)+(F2*1)+(E2*1)+(D2*1)+(C2*1)</f>
        <v>96.899999999999991</v>
      </c>
      <c r="I30">
        <f>(I2*0.5)+(H2*1)+(G2*1)+(F2*1)+(E2*1)+(D2*1)</f>
        <v>96.1</v>
      </c>
    </row>
    <row r="31" spans="1:11" x14ac:dyDescent="0.2">
      <c r="A31" t="s">
        <v>75</v>
      </c>
      <c r="F31" s="49">
        <f>E9*60</f>
        <v>1248</v>
      </c>
      <c r="G31" s="49">
        <f>F12*60</f>
        <v>1656</v>
      </c>
      <c r="H31" s="49">
        <f>G12*60</f>
        <v>2112</v>
      </c>
      <c r="I31" s="49">
        <f>H12*60</f>
        <v>2539.2000000000003</v>
      </c>
      <c r="K31" s="50"/>
    </row>
    <row r="32" spans="1:11" x14ac:dyDescent="0.2">
      <c r="A32" t="s">
        <v>70</v>
      </c>
      <c r="C32" s="49">
        <f>C2*C40</f>
        <v>1320</v>
      </c>
      <c r="D32" s="49">
        <f>(D2*C40)+(C2*D40)</f>
        <v>1844</v>
      </c>
      <c r="E32" s="49">
        <f>(C2*E40)+(D2*D40)+(E2*C40)</f>
        <v>2338</v>
      </c>
      <c r="F32" s="49">
        <f>(C2*F40)+(D2*E40)+(E2*D40)+(F2*C40)</f>
        <v>2769</v>
      </c>
      <c r="G32" s="49">
        <f>(C2*G40)+(D2*F40)+(E2*E40)+(F2*D40)+(G2*C40)</f>
        <v>2904.5</v>
      </c>
      <c r="H32" s="49">
        <f>(C2*H40)+(D2*G40)+(E2*F40)+(F2*E40)+(G2*D40)+(H2*C40)</f>
        <v>2876.25</v>
      </c>
      <c r="I32" s="49">
        <f>(D2*H40)+(E2*G40)+(F2*F40)+(G2*E40)+(H2*D40)+(I2*C40)</f>
        <v>2505.5</v>
      </c>
    </row>
    <row r="33" spans="1:11" x14ac:dyDescent="0.2">
      <c r="A33" t="s">
        <v>71</v>
      </c>
      <c r="C33" s="49">
        <f>C2*C41</f>
        <v>495</v>
      </c>
      <c r="D33" s="49">
        <f>(D2*C41)+(C2*D41)</f>
        <v>774</v>
      </c>
      <c r="E33" s="49">
        <f>(C2*E41)+(D2*D41)+(E2*C41)</f>
        <v>1074.5</v>
      </c>
      <c r="F33" s="49">
        <f>(C2*F41)+(D2*E41)+(E2*D41)+(F2*C41)</f>
        <v>1341</v>
      </c>
      <c r="G33" s="49">
        <f>(C2*G41)+(D2*F41)+(E2*E41)+(F2*D41)+(G2*C41)</f>
        <v>1466</v>
      </c>
      <c r="H33" s="49">
        <f>(C2*H41)+(D2*G41)+(E2*F41)+(F2*E41)+(G2*D41)+(H2*C41)</f>
        <v>1465</v>
      </c>
      <c r="I33" s="49">
        <f>(D2*H41)+(E2*G41)+(F2*F41)+(G2*E41)+(H2*D41)+(I2*C41)</f>
        <v>1337.5</v>
      </c>
    </row>
    <row r="34" spans="1:11" x14ac:dyDescent="0.2">
      <c r="A34" t="s">
        <v>73</v>
      </c>
      <c r="C34" s="49">
        <f>C2*C42</f>
        <v>247.5</v>
      </c>
      <c r="D34" s="49">
        <f>(D2*C42)+(C2*D42)</f>
        <v>436.5</v>
      </c>
      <c r="E34" s="49">
        <f>(C2*E42)+(D2*D42)+(E2*C42)</f>
        <v>639.4</v>
      </c>
      <c r="F34" s="49">
        <f>(C2*F42)+(D2*E42)+(E2*D42)+(F2*C42)</f>
        <v>791.9</v>
      </c>
      <c r="G34" s="49">
        <f>(C2*G42)+(D2*F42)+(E2*E42)+(F2*D42)+(G2*C42)</f>
        <v>878</v>
      </c>
      <c r="H34" s="49">
        <f>(C2*H42)+(D2*G42)+(E2*F42)+(F2*E42)+(G2*D42)+(H2*C42)</f>
        <v>884.6</v>
      </c>
      <c r="I34" s="49">
        <f>(D2*H42)+(E2*G42)+(F2*F42)+(G2*E42)+(H2*D42)+(I2*C42)</f>
        <v>817.5</v>
      </c>
    </row>
    <row r="36" spans="1:11" x14ac:dyDescent="0.2">
      <c r="A36" t="s">
        <v>3</v>
      </c>
      <c r="C36">
        <v>1</v>
      </c>
      <c r="D36">
        <v>2</v>
      </c>
      <c r="E36">
        <v>3</v>
      </c>
      <c r="F36">
        <v>4</v>
      </c>
      <c r="G36">
        <v>5</v>
      </c>
      <c r="H36">
        <v>6</v>
      </c>
    </row>
    <row r="37" spans="1:11" x14ac:dyDescent="0.2">
      <c r="A37" t="s">
        <v>6</v>
      </c>
      <c r="C37">
        <v>4</v>
      </c>
      <c r="D37">
        <v>2.5</v>
      </c>
      <c r="E37">
        <v>1</v>
      </c>
      <c r="F37">
        <v>1</v>
      </c>
      <c r="G37">
        <v>0.5</v>
      </c>
      <c r="J37">
        <f>SUM(C37:I37)</f>
        <v>9</v>
      </c>
    </row>
    <row r="38" spans="1:11" x14ac:dyDescent="0.2">
      <c r="A38" t="s">
        <v>10</v>
      </c>
      <c r="C38">
        <v>0.5</v>
      </c>
      <c r="D38">
        <v>1</v>
      </c>
      <c r="E38">
        <v>1</v>
      </c>
      <c r="F38">
        <v>1</v>
      </c>
      <c r="G38">
        <v>1</v>
      </c>
      <c r="H38">
        <v>1</v>
      </c>
      <c r="J38">
        <f>SUM(C38:H38)</f>
        <v>5.5</v>
      </c>
    </row>
    <row r="39" spans="1:11" x14ac:dyDescent="0.2">
      <c r="A39" t="s">
        <v>87</v>
      </c>
      <c r="C39" s="22">
        <v>0.4</v>
      </c>
      <c r="D39" s="22">
        <v>0.4</v>
      </c>
      <c r="E39" s="22">
        <v>0.4</v>
      </c>
      <c r="F39" s="22">
        <v>0.4</v>
      </c>
      <c r="G39" s="22">
        <v>0.4</v>
      </c>
      <c r="H39" s="22">
        <v>0.4</v>
      </c>
    </row>
    <row r="40" spans="1:11" x14ac:dyDescent="0.2">
      <c r="A40" t="s">
        <v>89</v>
      </c>
      <c r="C40">
        <v>80</v>
      </c>
      <c r="D40">
        <v>40</v>
      </c>
      <c r="E40">
        <v>20</v>
      </c>
      <c r="F40">
        <v>10</v>
      </c>
      <c r="G40">
        <v>5</v>
      </c>
      <c r="H40">
        <v>2.5</v>
      </c>
    </row>
    <row r="41" spans="1:11" x14ac:dyDescent="0.2">
      <c r="A41" t="s">
        <v>91</v>
      </c>
      <c r="C41">
        <v>30</v>
      </c>
      <c r="D41">
        <v>20</v>
      </c>
      <c r="E41">
        <v>15</v>
      </c>
      <c r="F41">
        <v>10</v>
      </c>
      <c r="G41">
        <v>5</v>
      </c>
      <c r="H41">
        <v>0</v>
      </c>
    </row>
    <row r="42" spans="1:11" x14ac:dyDescent="0.2">
      <c r="A42" t="s">
        <v>93</v>
      </c>
      <c r="C42">
        <v>15</v>
      </c>
      <c r="D42" s="56">
        <v>13</v>
      </c>
      <c r="E42">
        <v>11</v>
      </c>
      <c r="F42">
        <v>6</v>
      </c>
      <c r="G42">
        <v>3</v>
      </c>
      <c r="H42">
        <v>0</v>
      </c>
    </row>
    <row r="44" spans="1:11" x14ac:dyDescent="0.2">
      <c r="A44" t="s">
        <v>3</v>
      </c>
      <c r="C44">
        <v>1</v>
      </c>
      <c r="D44">
        <v>2</v>
      </c>
      <c r="E44">
        <v>3</v>
      </c>
      <c r="F44">
        <v>4</v>
      </c>
      <c r="G44">
        <v>5</v>
      </c>
      <c r="H44">
        <v>6</v>
      </c>
    </row>
    <row r="45" spans="1:11" x14ac:dyDescent="0.2">
      <c r="A45" t="s">
        <v>96</v>
      </c>
      <c r="C45" s="49">
        <f>C37*60</f>
        <v>240</v>
      </c>
      <c r="D45" s="49">
        <f>D37*60</f>
        <v>150</v>
      </c>
      <c r="E45" s="49">
        <f>E37*60</f>
        <v>60</v>
      </c>
      <c r="F45" s="49">
        <f>F37*60</f>
        <v>60</v>
      </c>
      <c r="G45" s="49">
        <f>G37*60</f>
        <v>30</v>
      </c>
      <c r="H45" s="49">
        <f>H37*60</f>
        <v>0</v>
      </c>
      <c r="J45" s="49">
        <f>SUM(C45:H45)</f>
        <v>540</v>
      </c>
      <c r="K45" s="8">
        <f>J45/$J$52</f>
        <v>0.43390920048212134</v>
      </c>
    </row>
    <row r="46" spans="1:11" x14ac:dyDescent="0.2">
      <c r="A46" t="s">
        <v>98</v>
      </c>
      <c r="C46" s="49">
        <f>C38*50</f>
        <v>25</v>
      </c>
      <c r="D46" s="49">
        <f>D38*50</f>
        <v>50</v>
      </c>
      <c r="E46" s="49">
        <f>E38*50</f>
        <v>50</v>
      </c>
      <c r="F46" s="49">
        <f>F38*50</f>
        <v>50</v>
      </c>
      <c r="G46" s="49">
        <f>G38*50</f>
        <v>50</v>
      </c>
      <c r="H46" s="49">
        <f>H38*50</f>
        <v>50</v>
      </c>
      <c r="J46" s="49">
        <f>SUM(C46:H46)</f>
        <v>275</v>
      </c>
      <c r="K46" s="8">
        <f>J46/$J$52</f>
        <v>0.22097227802330252</v>
      </c>
    </row>
    <row r="47" spans="1:11" x14ac:dyDescent="0.2">
      <c r="A47" t="s">
        <v>99</v>
      </c>
      <c r="C47" s="49">
        <f>60*C39</f>
        <v>24</v>
      </c>
      <c r="D47" s="49">
        <f>60*D39</f>
        <v>24</v>
      </c>
      <c r="E47" s="49">
        <f>60*E39</f>
        <v>24</v>
      </c>
      <c r="F47" s="49">
        <f>60*F39</f>
        <v>24</v>
      </c>
      <c r="G47" s="49">
        <f>60*G39</f>
        <v>24</v>
      </c>
      <c r="H47" s="49">
        <f>60*H39</f>
        <v>24</v>
      </c>
      <c r="J47" s="49">
        <f>SUM(C47:H47)</f>
        <v>144</v>
      </c>
      <c r="K47" s="8">
        <f>J47/$J$52</f>
        <v>0.11570912012856568</v>
      </c>
    </row>
    <row r="48" spans="1:11" x14ac:dyDescent="0.2">
      <c r="A48" t="s">
        <v>102</v>
      </c>
      <c r="C48" s="49">
        <f>C40</f>
        <v>80</v>
      </c>
      <c r="D48" s="49">
        <f>D40</f>
        <v>40</v>
      </c>
      <c r="E48" s="49">
        <f>E40</f>
        <v>20</v>
      </c>
      <c r="F48" s="49">
        <f>F40</f>
        <v>10</v>
      </c>
      <c r="G48" s="49">
        <f>G40</f>
        <v>5</v>
      </c>
      <c r="H48" s="49">
        <f>H40</f>
        <v>2.5</v>
      </c>
      <c r="J48" s="49">
        <f>SUM(C48:H48)</f>
        <v>157.5</v>
      </c>
      <c r="K48" s="8">
        <f>J48/$J$52</f>
        <v>0.12655685014061871</v>
      </c>
    </row>
    <row r="49" spans="1:11" x14ac:dyDescent="0.2">
      <c r="A49" t="s">
        <v>105</v>
      </c>
      <c r="C49" s="49">
        <f>C41</f>
        <v>30</v>
      </c>
      <c r="D49" s="49">
        <f>D41</f>
        <v>20</v>
      </c>
      <c r="E49" s="49">
        <f>E41</f>
        <v>15</v>
      </c>
      <c r="F49" s="49">
        <f>F41</f>
        <v>10</v>
      </c>
      <c r="G49" s="49">
        <f>G41</f>
        <v>5</v>
      </c>
      <c r="H49" s="49">
        <f>H41</f>
        <v>0</v>
      </c>
      <c r="J49" s="49">
        <f>SUM(C49:H49)</f>
        <v>80</v>
      </c>
      <c r="K49" s="8">
        <f>J49/$J$52</f>
        <v>6.4282844515869825E-2</v>
      </c>
    </row>
    <row r="50" spans="1:11" x14ac:dyDescent="0.2">
      <c r="A50" t="s">
        <v>108</v>
      </c>
      <c r="C50" s="49">
        <f>C42</f>
        <v>15</v>
      </c>
      <c r="D50" s="49">
        <f>D42</f>
        <v>13</v>
      </c>
      <c r="E50" s="49">
        <f>E42</f>
        <v>11</v>
      </c>
      <c r="F50" s="49">
        <f>F42</f>
        <v>6</v>
      </c>
      <c r="G50" s="49">
        <f>G42</f>
        <v>3</v>
      </c>
      <c r="H50" s="49">
        <f>H42</f>
        <v>0</v>
      </c>
      <c r="J50" s="49">
        <f>SUM(C50:H50)</f>
        <v>48</v>
      </c>
      <c r="K50" s="8">
        <f>J50/$J$52</f>
        <v>3.8569706709521895E-2</v>
      </c>
    </row>
    <row r="52" spans="1:11" x14ac:dyDescent="0.2">
      <c r="C52" s="50">
        <f>SUM(C45:C50)</f>
        <v>414</v>
      </c>
      <c r="D52" s="50">
        <f>SUM(D45:D50)</f>
        <v>297</v>
      </c>
      <c r="E52" s="50">
        <f>SUM(E45:E50)</f>
        <v>180</v>
      </c>
      <c r="F52" s="50">
        <f>SUM(F45:F50)</f>
        <v>160</v>
      </c>
      <c r="G52" s="50">
        <f>SUM(G45:G50)</f>
        <v>117</v>
      </c>
      <c r="H52" s="50">
        <f>SUM(H45:H50)</f>
        <v>76.5</v>
      </c>
      <c r="I52" s="50"/>
      <c r="J52" s="50">
        <f>SUM(J45:J50)</f>
        <v>1244.5</v>
      </c>
    </row>
    <row r="53" spans="1:11" x14ac:dyDescent="0.2">
      <c r="C53" s="8">
        <f>C52/$J$52</f>
        <v>0.33266372036962638</v>
      </c>
      <c r="D53" s="8">
        <f>D52/$J$52</f>
        <v>0.23865006026516675</v>
      </c>
      <c r="E53" s="8">
        <f>E52/$J$52</f>
        <v>0.14463640016070711</v>
      </c>
      <c r="F53" s="8">
        <f>F52/$J$52</f>
        <v>0.12856568903173965</v>
      </c>
      <c r="G53" s="8">
        <f>G52/$J$52</f>
        <v>9.401366010445962E-2</v>
      </c>
      <c r="H53" s="8">
        <f>H52/$J$52</f>
        <v>6.1470470068300524E-2</v>
      </c>
    </row>
    <row r="55" spans="1:11" x14ac:dyDescent="0.2">
      <c r="A55" t="s">
        <v>113</v>
      </c>
      <c r="C55" s="50">
        <f>C45+C49</f>
        <v>270</v>
      </c>
      <c r="D55" s="50">
        <f>D45+D49</f>
        <v>170</v>
      </c>
      <c r="E55" s="50">
        <f>E45+E49</f>
        <v>75</v>
      </c>
      <c r="F55" s="50">
        <f>F45+F49</f>
        <v>70</v>
      </c>
      <c r="G55" s="50">
        <f>G45+G49</f>
        <v>35</v>
      </c>
      <c r="H55" s="50">
        <f>H45+H49</f>
        <v>0</v>
      </c>
      <c r="J55" s="49">
        <f>SUM(C55:H55)</f>
        <v>620</v>
      </c>
      <c r="K55" s="8">
        <f>J55/$J$52</f>
        <v>0.49819204499799113</v>
      </c>
    </row>
    <row r="56" spans="1:11" x14ac:dyDescent="0.2">
      <c r="A56" t="s">
        <v>115</v>
      </c>
      <c r="C56" s="50">
        <f>C52-C55</f>
        <v>144</v>
      </c>
      <c r="D56" s="50">
        <f>D52-D55</f>
        <v>127</v>
      </c>
      <c r="E56" s="50">
        <f>E52-E55</f>
        <v>105</v>
      </c>
      <c r="F56" s="50">
        <f>F52-F55</f>
        <v>90</v>
      </c>
      <c r="G56" s="50">
        <f>G52-G55</f>
        <v>82</v>
      </c>
      <c r="H56" s="50">
        <f>H52-H55</f>
        <v>76.5</v>
      </c>
      <c r="J56" s="49">
        <f>SUM(C56:H56)</f>
        <v>624.5</v>
      </c>
      <c r="K56" s="8">
        <f>J56/$J$52</f>
        <v>0.50180795500200881</v>
      </c>
    </row>
    <row r="57" spans="1:11" x14ac:dyDescent="0.2">
      <c r="A57" t="s">
        <v>117</v>
      </c>
      <c r="C57" s="8">
        <f>C55/C52</f>
        <v>0.65217391304347827</v>
      </c>
      <c r="D57" s="8">
        <f>D55/D52</f>
        <v>0.57239057239057234</v>
      </c>
      <c r="E57" s="8">
        <f>E55/E52</f>
        <v>0.41666666666666669</v>
      </c>
      <c r="F57" s="8">
        <f>F55/F52</f>
        <v>0.4375</v>
      </c>
      <c r="G57" s="8">
        <f>G55/G52</f>
        <v>0.29914529914529914</v>
      </c>
      <c r="H57" s="8">
        <f>H55/H52</f>
        <v>0</v>
      </c>
    </row>
    <row r="58" spans="1:11" x14ac:dyDescent="0.2">
      <c r="A58" t="s">
        <v>118</v>
      </c>
      <c r="C58" s="8">
        <f>C56/C52</f>
        <v>0.34782608695652173</v>
      </c>
      <c r="D58" s="8">
        <f>D56/D52</f>
        <v>0.42760942760942761</v>
      </c>
      <c r="E58" s="8">
        <f>E56/E52</f>
        <v>0.58333333333333337</v>
      </c>
      <c r="F58" s="8">
        <f>F56/F52</f>
        <v>0.5625</v>
      </c>
      <c r="G58" s="8">
        <f>G56/G52</f>
        <v>0.70085470085470081</v>
      </c>
      <c r="H58" s="8">
        <f>H56/H52</f>
        <v>1</v>
      </c>
    </row>
    <row r="60" spans="1:11" x14ac:dyDescent="0.2">
      <c r="C60" s="61">
        <f>C56*0.01</f>
        <v>1.44</v>
      </c>
      <c r="D60" s="61">
        <f>D56*0.01</f>
        <v>1.27</v>
      </c>
      <c r="E60" s="61">
        <f>E56*0.01</f>
        <v>1.05</v>
      </c>
      <c r="F60" s="61">
        <f>F56*0.01</f>
        <v>0.9</v>
      </c>
      <c r="G60" s="61">
        <f>G56*0.01</f>
        <v>0.82000000000000006</v>
      </c>
      <c r="H60" s="61">
        <f>H56*0.01</f>
        <v>0.76500000000000001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Cohen GME</vt:lpstr>
      <vt:lpstr>Sony Game Attach Rates</vt:lpstr>
      <vt:lpstr>Nintendo Game Attach Rates</vt:lpstr>
      <vt:lpstr>Console Market Share</vt:lpstr>
      <vt:lpstr>XBOX Digital Rev Share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2020-10-29T15:32:30Z</dcterms:created>
  <dcterms:modified xsi:type="dcterms:W3CDTF">2021-01-19T20:29:33Z</dcterms:modified>
</cp:coreProperties>
</file>